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945" windowWidth="10365" windowHeight="5295" activeTab="2"/>
  </bookViews>
  <sheets>
    <sheet name="Pump" sheetId="1" r:id="rId1"/>
    <sheet name="Sprinkler Line 1" sheetId="2" r:id="rId2"/>
    <sheet name="Sprinkler Line 2" sheetId="3" r:id="rId3"/>
    <sheet name="Sprinkler Line 3" sheetId="4" r:id="rId4"/>
    <sheet name="Sprinkler Line 4" sheetId="5" r:id="rId5"/>
    <sheet name="Sprinkler Line 5" sheetId="6" r:id="rId6"/>
    <sheet name="Sprinkler Line 6" sheetId="7" r:id="rId7"/>
    <sheet name="Views" sheetId="8" r:id="rId8"/>
  </sheets>
  <definedNames>
    <definedName name="_xlnm.Print_Area" localSheetId="0">'Pump'!$A$1:$E$77</definedName>
    <definedName name="_xlnm.Print_Area" localSheetId="1">'Sprinkler Line 1'!$A$1:$G$43</definedName>
    <definedName name="_xlnm.Print_Area" localSheetId="2">'Sprinkler Line 2'!$A$1:$G$43</definedName>
    <definedName name="_xlnm.Print_Area" localSheetId="3">'Sprinkler Line 3'!$A$1:$G$43</definedName>
    <definedName name="_xlnm.Print_Area" localSheetId="4">'Sprinkler Line 4'!$A$1:$G$43</definedName>
    <definedName name="_xlnm.Print_Area" localSheetId="5">'Sprinkler Line 5'!$A$1:$G$43</definedName>
    <definedName name="_xlnm.Print_Area" localSheetId="6">'Sprinkler Line 6'!$A$1:$G$43</definedName>
  </definedNames>
  <calcPr fullCalcOnLoad="1"/>
</workbook>
</file>

<file path=xl/sharedStrings.xml><?xml version="1.0" encoding="utf-8"?>
<sst xmlns="http://schemas.openxmlformats.org/spreadsheetml/2006/main" count="463" uniqueCount="125">
  <si>
    <t>Riser Pressure =</t>
  </si>
  <si>
    <t>Riser Elevation =</t>
  </si>
  <si>
    <t>Pod Station</t>
  </si>
  <si>
    <t>Riser</t>
  </si>
  <si>
    <t>Pod 1</t>
  </si>
  <si>
    <t>Pod 2</t>
  </si>
  <si>
    <t xml:space="preserve">Pod 3 </t>
  </si>
  <si>
    <t>Pod 4</t>
  </si>
  <si>
    <t>Pod 5</t>
  </si>
  <si>
    <t>Pod 6</t>
  </si>
  <si>
    <t>Pod 7</t>
  </si>
  <si>
    <t>Pod 8</t>
  </si>
  <si>
    <t>Pod 9</t>
  </si>
  <si>
    <t>Pod 10</t>
  </si>
  <si>
    <t>Pod 11</t>
  </si>
  <si>
    <t>Pod 12</t>
  </si>
  <si>
    <t>Pod 13</t>
  </si>
  <si>
    <t>Pod 14</t>
  </si>
  <si>
    <t>End</t>
  </si>
  <si>
    <t>Pod #</t>
  </si>
  <si>
    <t>Pod EL</t>
  </si>
  <si>
    <t>Flow Rate</t>
  </si>
  <si>
    <t>Water Velocity</t>
  </si>
  <si>
    <t xml:space="preserve">or </t>
  </si>
  <si>
    <t>Friction Loss ft/100ft</t>
  </si>
  <si>
    <t>Friction loss ft</t>
  </si>
  <si>
    <t>in</t>
  </si>
  <si>
    <t>sq ft</t>
  </si>
  <si>
    <t>Nozzle Flow Rate *</t>
  </si>
  <si>
    <t>* Note - Assuming a constant flow rate at each nozzle with a pressure regulator</t>
  </si>
  <si>
    <t>or a difference in nozzle orifice diameters to achieve constant flow rate</t>
  </si>
  <si>
    <t>Pod Sta PSI</t>
  </si>
  <si>
    <t>in between pods</t>
  </si>
  <si>
    <t>Ft</t>
  </si>
  <si>
    <t>PSI</t>
  </si>
  <si>
    <t>GPM</t>
  </si>
  <si>
    <t>CFS</t>
  </si>
  <si>
    <t>Riser Pipe ID</t>
  </si>
  <si>
    <t>Riser Pipe Xsec A</t>
  </si>
  <si>
    <t>Riser Flow Rate, gpm</t>
  </si>
  <si>
    <t>32mm = 1.228" SDR 11.4</t>
  </si>
  <si>
    <t>40 mm = 1.478" SDR 13.4</t>
  </si>
  <si>
    <t>45 mm = 1.724"</t>
  </si>
  <si>
    <t>50 mm = 1.970"</t>
  </si>
  <si>
    <t>Note - Friction Loss calculated by Hazen Williams Fomula w/ C = 150</t>
  </si>
  <si>
    <r>
      <t>H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 xml:space="preserve"> = 100(gpm/150)</t>
    </r>
    <r>
      <rPr>
        <vertAlign val="superscript"/>
        <sz val="8"/>
        <rFont val="Arial"/>
        <family val="2"/>
      </rPr>
      <t>1.85185</t>
    </r>
    <r>
      <rPr>
        <sz val="8"/>
        <rFont val="Arial"/>
        <family val="2"/>
      </rPr>
      <t xml:space="preserve"> * (10.4057/d</t>
    </r>
    <r>
      <rPr>
        <vertAlign val="subscript"/>
        <sz val="8"/>
        <rFont val="Arial"/>
        <family val="2"/>
      </rPr>
      <t>i</t>
    </r>
    <r>
      <rPr>
        <vertAlign val="superscript"/>
        <sz val="8"/>
        <rFont val="Arial"/>
        <family val="2"/>
      </rPr>
      <t>4.87037</t>
    </r>
    <r>
      <rPr>
        <sz val="8"/>
        <rFont val="Arial"/>
        <family val="2"/>
      </rPr>
      <t>)</t>
    </r>
  </si>
  <si>
    <t>Date:</t>
  </si>
  <si>
    <t>County:</t>
  </si>
  <si>
    <t>Checked:</t>
  </si>
  <si>
    <t>25-Yr, 24-Hr Storm Runoff Volume (cubic ft):</t>
  </si>
  <si>
    <t>Basin Dewatering Time Period (hrs):</t>
  </si>
  <si>
    <t>GPM       or</t>
  </si>
  <si>
    <t>cfs</t>
  </si>
  <si>
    <t>PVC</t>
  </si>
  <si>
    <t>Sprinkler VTS Pump Calculation Sheet</t>
  </si>
  <si>
    <t>Sediment Basin and Pump Capacity</t>
  </si>
  <si>
    <t xml:space="preserve">Pump and Discharge Pipe </t>
  </si>
  <si>
    <t>Type of Pump</t>
  </si>
  <si>
    <t>Self Priming Centrifugal</t>
  </si>
  <si>
    <t>End Suction Centrifugal</t>
  </si>
  <si>
    <t>Galvanized Steel</t>
  </si>
  <si>
    <t>Vertical Turbine Pump</t>
  </si>
  <si>
    <t xml:space="preserve">Aluminum </t>
  </si>
  <si>
    <t>Type of Pump Discharge Pipe</t>
  </si>
  <si>
    <t>Project Name:</t>
  </si>
  <si>
    <t>ft</t>
  </si>
  <si>
    <t>Elbow Loss Equivalent Length in Feet</t>
  </si>
  <si>
    <t>Pump Suction Pipeline</t>
  </si>
  <si>
    <t>Suction Inlet Entrance Loss Equivalent Length</t>
  </si>
  <si>
    <t>Type of Suction Inlet Pipeline</t>
  </si>
  <si>
    <t>Aluminum</t>
  </si>
  <si>
    <t>Lay Flat</t>
  </si>
  <si>
    <t>PE</t>
  </si>
  <si>
    <t>Delivery Line (from Pump to Sprinkler Riser)</t>
  </si>
  <si>
    <t>Type of Pipeline</t>
  </si>
  <si>
    <t>Length of Discharge Delivery Line in Feet</t>
  </si>
  <si>
    <t>Diameter of Discharge Delivery Line in Inches</t>
  </si>
  <si>
    <t>Elevation of Discharge Pipe</t>
  </si>
  <si>
    <t>Elevation of Sediment Basin Bottom</t>
  </si>
  <si>
    <t>ft/100 ft</t>
  </si>
  <si>
    <t>Elevation of High Point (Pipeline or Riser)</t>
  </si>
  <si>
    <t>Elevation of Lowest Point (Pipeline or Riser)</t>
  </si>
  <si>
    <t>ft Total Dynamic Head</t>
  </si>
  <si>
    <t>TOTAL</t>
  </si>
  <si>
    <t>psi</t>
  </si>
  <si>
    <t>PSI at Pump Discharge</t>
  </si>
  <si>
    <t>Pump Performance</t>
  </si>
  <si>
    <t>Brake Hp</t>
  </si>
  <si>
    <t>Diameter of Suction Pipe</t>
  </si>
  <si>
    <t>Length of Discharge Pipe to Delivery Pipeline</t>
  </si>
  <si>
    <t xml:space="preserve">password </t>
  </si>
  <si>
    <t>green</t>
  </si>
  <si>
    <t>Towable Plastic Sprinkler  Water Velocity Evaluation</t>
  </si>
  <si>
    <t>Evaluation of Sprinkler Line</t>
  </si>
  <si>
    <t>ID #</t>
  </si>
  <si>
    <t>password</t>
  </si>
  <si>
    <t>125 psi SDR 32.5</t>
  </si>
  <si>
    <t xml:space="preserve">Length of Suction Pipe to Pump </t>
  </si>
  <si>
    <t>Operating Pressure at Highest Point of</t>
  </si>
  <si>
    <t>Sprinkler Riser or Pipeline</t>
  </si>
  <si>
    <t>PE Tube Diameter's</t>
  </si>
  <si>
    <t xml:space="preserve">Tube ID </t>
  </si>
  <si>
    <t>Tube Xsec A</t>
  </si>
  <si>
    <t>Tubeline Flow Rate, gpm</t>
  </si>
  <si>
    <t>1 South</t>
  </si>
  <si>
    <t>2 North</t>
  </si>
  <si>
    <t>jgross</t>
  </si>
  <si>
    <t>Inline Pressure Filter Loss in Feet</t>
  </si>
  <si>
    <t>Check Valve Loss Equivalent Length in Feet</t>
  </si>
  <si>
    <t>Friction Loss in Pipeline</t>
  </si>
  <si>
    <t>Elbow or Other Minor Losses in Equivalent Feet</t>
  </si>
  <si>
    <t>Lancaster County</t>
  </si>
  <si>
    <t>Total Pipeline Friction Loss</t>
  </si>
  <si>
    <t>Total Loss in Feet</t>
  </si>
  <si>
    <t>Percent Efficient</t>
  </si>
  <si>
    <t>Resulting Flow rate Required at the Pump:</t>
  </si>
  <si>
    <t>Total Loss in Feet (including lift)</t>
  </si>
  <si>
    <t>PVC and Steel</t>
  </si>
  <si>
    <t>Diameter of Discharge Pipe</t>
  </si>
  <si>
    <t>Page 1</t>
  </si>
  <si>
    <t>Page 2</t>
  </si>
  <si>
    <t>Max Pipeline Pressure</t>
  </si>
  <si>
    <t>Pipe Strength and Type</t>
  </si>
  <si>
    <t>Video Design</t>
  </si>
  <si>
    <t>6 North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</si>
</sst>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67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4" fontId="0" fillId="10" borderId="10" xfId="0" applyNumberFormat="1" applyFill="1" applyBorder="1" applyAlignment="1" applyProtection="1">
      <alignment/>
      <protection locked="0"/>
    </xf>
    <xf numFmtId="0" fontId="0" fillId="10" borderId="10" xfId="0" applyFill="1" applyBorder="1" applyAlignment="1" applyProtection="1">
      <alignment/>
      <protection locked="0"/>
    </xf>
    <xf numFmtId="4" fontId="0" fillId="10" borderId="0" xfId="0" applyNumberFormat="1" applyFill="1" applyBorder="1" applyAlignment="1" applyProtection="1">
      <alignment horizontal="center"/>
      <protection locked="0"/>
    </xf>
    <xf numFmtId="0" fontId="0" fillId="10" borderId="0" xfId="0" applyFill="1" applyAlignment="1" applyProtection="1">
      <alignment horizontal="center"/>
      <protection locked="0"/>
    </xf>
    <xf numFmtId="4" fontId="0" fillId="10" borderId="0" xfId="0" applyNumberFormat="1" applyFill="1" applyAlignment="1" applyProtection="1">
      <alignment/>
      <protection locked="0"/>
    </xf>
    <xf numFmtId="0" fontId="0" fillId="10" borderId="0" xfId="0" applyFill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9" fontId="0" fillId="10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166" fontId="0" fillId="0" borderId="0" xfId="0" applyNumberFormat="1" applyAlignment="1">
      <alignment horizontal="center"/>
    </xf>
    <xf numFmtId="164" fontId="0" fillId="10" borderId="0" xfId="0" applyNumberFormat="1" applyFill="1" applyAlignment="1" applyProtection="1">
      <alignment horizontal="center"/>
      <protection locked="0"/>
    </xf>
    <xf numFmtId="1" fontId="0" fillId="0" borderId="0" xfId="0" applyNumberFormat="1" applyFont="1" applyBorder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4" fontId="0" fillId="10" borderId="0" xfId="0" applyNumberFormat="1" applyFont="1" applyFill="1" applyAlignment="1" applyProtection="1">
      <alignment horizontal="center"/>
      <protection locked="0"/>
    </xf>
    <xf numFmtId="4" fontId="0" fillId="10" borderId="0" xfId="0" applyNumberFormat="1" applyFill="1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152400</xdr:rowOff>
    </xdr:from>
    <xdr:to>
      <xdr:col>10</xdr:col>
      <xdr:colOff>190500</xdr:colOff>
      <xdr:row>23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4640" t="23393" r="2557" b="5673"/>
        <a:stretch>
          <a:fillRect/>
        </a:stretch>
      </xdr:blipFill>
      <xdr:spPr>
        <a:xfrm>
          <a:off x="381000" y="152400"/>
          <a:ext cx="590550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24</xdr:row>
      <xdr:rowOff>133350</xdr:rowOff>
    </xdr:from>
    <xdr:to>
      <xdr:col>10</xdr:col>
      <xdr:colOff>342900</xdr:colOff>
      <xdr:row>47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54734" t="25404" r="2650" b="5673"/>
        <a:stretch>
          <a:fillRect/>
        </a:stretch>
      </xdr:blipFill>
      <xdr:spPr>
        <a:xfrm>
          <a:off x="447675" y="4019550"/>
          <a:ext cx="59912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="125" zoomScaleNormal="125" zoomScalePageLayoutView="0" workbookViewId="0" topLeftCell="A16">
      <selection activeCell="B19" sqref="B19"/>
    </sheetView>
  </sheetViews>
  <sheetFormatPr defaultColWidth="9.140625" defaultRowHeight="12.75"/>
  <cols>
    <col min="1" max="1" width="40.57421875" style="0" customWidth="1"/>
    <col min="2" max="2" width="11.140625" style="0" customWidth="1"/>
    <col min="3" max="3" width="20.28125" style="0" customWidth="1"/>
    <col min="6" max="6" width="13.140625" style="0" customWidth="1"/>
  </cols>
  <sheetData>
    <row r="1" spans="1:10" ht="12.75" customHeight="1">
      <c r="A1" s="37" t="s">
        <v>54</v>
      </c>
      <c r="B1" s="37"/>
      <c r="C1" s="37"/>
      <c r="D1" s="25" t="s">
        <v>119</v>
      </c>
      <c r="E1" s="37"/>
      <c r="F1" s="37"/>
      <c r="G1" s="37"/>
      <c r="H1" s="37"/>
      <c r="I1" s="37"/>
      <c r="J1" s="37"/>
    </row>
    <row r="2" ht="12.75" customHeight="1"/>
    <row r="3" spans="1:12" ht="12.75" customHeight="1">
      <c r="A3" s="24" t="s">
        <v>64</v>
      </c>
      <c r="B3" s="68" t="s">
        <v>123</v>
      </c>
      <c r="C3" s="68"/>
      <c r="D3" s="68"/>
      <c r="L3" s="22" t="s">
        <v>53</v>
      </c>
    </row>
    <row r="4" spans="1:12" ht="12.75" customHeight="1">
      <c r="A4" s="1" t="s">
        <v>47</v>
      </c>
      <c r="B4" s="69" t="s">
        <v>111</v>
      </c>
      <c r="C4" s="69"/>
      <c r="D4" s="47"/>
      <c r="L4" s="22" t="s">
        <v>70</v>
      </c>
    </row>
    <row r="5" spans="1:12" ht="12.75" customHeight="1">
      <c r="A5" s="1"/>
      <c r="B5" s="21"/>
      <c r="C5" s="21"/>
      <c r="G5" s="15"/>
      <c r="L5" s="22" t="s">
        <v>71</v>
      </c>
    </row>
    <row r="6" spans="1:12" ht="12.75" customHeight="1">
      <c r="A6" s="1" t="s">
        <v>46</v>
      </c>
      <c r="B6" s="39">
        <v>41647</v>
      </c>
      <c r="C6" s="21"/>
      <c r="G6" s="15"/>
      <c r="L6" s="22" t="s">
        <v>72</v>
      </c>
    </row>
    <row r="7" spans="1:7" ht="12.75" customHeight="1">
      <c r="A7" s="1" t="s">
        <v>48</v>
      </c>
      <c r="B7" s="40" t="s">
        <v>106</v>
      </c>
      <c r="C7" s="21"/>
      <c r="G7" s="15"/>
    </row>
    <row r="8" spans="3:8" ht="12.75" customHeight="1">
      <c r="C8" s="21"/>
      <c r="D8" s="21"/>
      <c r="H8" s="15"/>
    </row>
    <row r="9" spans="1:2" ht="12.75" customHeight="1">
      <c r="A9" s="2" t="s">
        <v>55</v>
      </c>
      <c r="B9" s="32"/>
    </row>
    <row r="10" ht="12.75" customHeight="1">
      <c r="B10" s="32"/>
    </row>
    <row r="11" spans="1:3" ht="12.75" customHeight="1">
      <c r="A11" t="s">
        <v>49</v>
      </c>
      <c r="B11" s="41">
        <v>33646</v>
      </c>
      <c r="C11" s="23"/>
    </row>
    <row r="12" spans="1:2" ht="12.75" customHeight="1">
      <c r="A12" t="s">
        <v>50</v>
      </c>
      <c r="B12" s="41">
        <v>48</v>
      </c>
    </row>
    <row r="13" spans="1:12" ht="12.75" customHeight="1">
      <c r="A13" s="22" t="s">
        <v>115</v>
      </c>
      <c r="B13" s="33">
        <f>((B11*7.481)/B12/60)</f>
        <v>87.39782152777778</v>
      </c>
      <c r="C13" s="1" t="s">
        <v>51</v>
      </c>
      <c r="D13" s="34">
        <f>B13/7.481/60</f>
        <v>0.19471064814814815</v>
      </c>
      <c r="E13" t="s">
        <v>52</v>
      </c>
      <c r="L13" s="22" t="s">
        <v>59</v>
      </c>
    </row>
    <row r="14" spans="2:12" ht="12.75" customHeight="1">
      <c r="B14" s="32"/>
      <c r="D14" s="47"/>
      <c r="E14" s="55"/>
      <c r="F14" s="47"/>
      <c r="G14" s="56"/>
      <c r="H14" s="47"/>
      <c r="I14" s="47"/>
      <c r="J14" s="47"/>
      <c r="L14" s="22" t="s">
        <v>58</v>
      </c>
    </row>
    <row r="15" spans="1:12" ht="12.75" customHeight="1">
      <c r="A15" s="2" t="s">
        <v>56</v>
      </c>
      <c r="B15" s="32"/>
      <c r="D15" s="47"/>
      <c r="E15" s="55"/>
      <c r="F15" s="47"/>
      <c r="G15" s="56"/>
      <c r="H15" s="47"/>
      <c r="I15" s="47"/>
      <c r="J15" s="47"/>
      <c r="L15" s="22" t="s">
        <v>61</v>
      </c>
    </row>
    <row r="16" spans="2:10" ht="12.75" customHeight="1">
      <c r="B16" s="32"/>
      <c r="D16" s="47"/>
      <c r="E16" s="55"/>
      <c r="F16" s="47"/>
      <c r="G16" s="56"/>
      <c r="H16" s="47"/>
      <c r="I16" s="47"/>
      <c r="J16" s="47"/>
    </row>
    <row r="17" spans="1:10" ht="12.75" customHeight="1">
      <c r="A17" s="22" t="s">
        <v>57</v>
      </c>
      <c r="B17" s="32"/>
      <c r="C17" s="42" t="s">
        <v>58</v>
      </c>
      <c r="D17" s="47"/>
      <c r="E17" s="55"/>
      <c r="F17" s="47"/>
      <c r="G17" s="56"/>
      <c r="H17" s="47"/>
      <c r="I17" s="47"/>
      <c r="J17" s="47"/>
    </row>
    <row r="18" spans="1:12" ht="12.75" customHeight="1">
      <c r="A18" s="22" t="s">
        <v>63</v>
      </c>
      <c r="B18" s="32"/>
      <c r="C18" s="42" t="s">
        <v>60</v>
      </c>
      <c r="D18" s="47"/>
      <c r="E18" s="55"/>
      <c r="F18" s="47"/>
      <c r="G18" s="56"/>
      <c r="H18" s="47"/>
      <c r="I18" s="47"/>
      <c r="J18" s="47"/>
      <c r="L18" s="22" t="s">
        <v>60</v>
      </c>
    </row>
    <row r="19" spans="1:12" ht="12.75" customHeight="1">
      <c r="A19" s="22" t="s">
        <v>77</v>
      </c>
      <c r="B19" s="43">
        <v>97</v>
      </c>
      <c r="C19" s="25" t="s">
        <v>65</v>
      </c>
      <c r="D19" s="47"/>
      <c r="E19" s="55"/>
      <c r="F19" s="47"/>
      <c r="G19" s="56"/>
      <c r="H19" s="47"/>
      <c r="I19" s="47"/>
      <c r="J19" s="47"/>
      <c r="L19" s="22" t="s">
        <v>53</v>
      </c>
    </row>
    <row r="20" spans="1:12" ht="12.75" customHeight="1">
      <c r="A20" s="22" t="s">
        <v>118</v>
      </c>
      <c r="B20" s="43">
        <v>2</v>
      </c>
      <c r="C20" s="25" t="s">
        <v>26</v>
      </c>
      <c r="D20" s="47"/>
      <c r="E20" s="55"/>
      <c r="F20" s="47"/>
      <c r="G20" s="56"/>
      <c r="H20" s="47"/>
      <c r="I20" s="47"/>
      <c r="J20" s="47"/>
      <c r="L20" s="22" t="s">
        <v>62</v>
      </c>
    </row>
    <row r="21" spans="1:12" ht="12.75" customHeight="1">
      <c r="A21" s="22" t="s">
        <v>89</v>
      </c>
      <c r="B21" s="43">
        <v>8</v>
      </c>
      <c r="C21" s="22" t="s">
        <v>65</v>
      </c>
      <c r="D21" s="47"/>
      <c r="E21" s="55"/>
      <c r="F21" s="47"/>
      <c r="G21" s="56"/>
      <c r="H21" s="47"/>
      <c r="I21" s="47"/>
      <c r="J21" s="47"/>
      <c r="L21" s="22" t="s">
        <v>117</v>
      </c>
    </row>
    <row r="22" spans="1:10" ht="12.75" customHeight="1">
      <c r="A22" s="22" t="s">
        <v>66</v>
      </c>
      <c r="B22" s="43">
        <v>10.4</v>
      </c>
      <c r="C22" s="22" t="s">
        <v>65</v>
      </c>
      <c r="D22" s="47"/>
      <c r="E22" s="55"/>
      <c r="F22" s="47"/>
      <c r="G22" s="56"/>
      <c r="H22" s="47"/>
      <c r="I22" s="47"/>
      <c r="J22" s="47"/>
    </row>
    <row r="23" spans="1:10" ht="12.75" customHeight="1">
      <c r="A23" s="22" t="s">
        <v>108</v>
      </c>
      <c r="B23" s="43">
        <v>13.4</v>
      </c>
      <c r="C23" s="22" t="s">
        <v>65</v>
      </c>
      <c r="D23" s="47"/>
      <c r="E23" s="55"/>
      <c r="F23" s="47"/>
      <c r="G23" s="56"/>
      <c r="H23" s="47"/>
      <c r="I23" s="47"/>
      <c r="J23" s="47"/>
    </row>
    <row r="24" spans="1:10" ht="12.75" customHeight="1">
      <c r="A24" s="22" t="s">
        <v>109</v>
      </c>
      <c r="B24" s="44">
        <v>18.48</v>
      </c>
      <c r="C24" s="52" t="s">
        <v>79</v>
      </c>
      <c r="D24" s="47"/>
      <c r="E24" s="55"/>
      <c r="F24" s="47"/>
      <c r="G24" s="56"/>
      <c r="H24" s="47"/>
      <c r="I24" s="47"/>
      <c r="J24" s="47"/>
    </row>
    <row r="25" spans="1:10" ht="12.75" customHeight="1">
      <c r="A25" s="22"/>
      <c r="B25" s="7"/>
      <c r="C25" s="29"/>
      <c r="D25" s="47"/>
      <c r="E25" s="55"/>
      <c r="F25" s="47"/>
      <c r="G25" s="56"/>
      <c r="H25" s="47"/>
      <c r="I25" s="47"/>
      <c r="J25" s="47"/>
    </row>
    <row r="26" spans="1:10" ht="12.75" customHeight="1">
      <c r="A26" s="22" t="s">
        <v>107</v>
      </c>
      <c r="B26" s="43">
        <v>15</v>
      </c>
      <c r="C26" s="22" t="s">
        <v>65</v>
      </c>
      <c r="D26" s="47"/>
      <c r="E26" s="55"/>
      <c r="F26" s="47"/>
      <c r="G26" s="56"/>
      <c r="H26" s="47"/>
      <c r="I26" s="47"/>
      <c r="J26" s="47"/>
    </row>
    <row r="27" spans="1:10" ht="12.75" customHeight="1">
      <c r="A27" s="22"/>
      <c r="B27" s="32"/>
      <c r="D27" s="47"/>
      <c r="E27" s="55"/>
      <c r="F27" s="47"/>
      <c r="G27" s="56"/>
      <c r="H27" s="47"/>
      <c r="I27" s="47"/>
      <c r="J27" s="47"/>
    </row>
    <row r="28" spans="1:10" ht="12.75" customHeight="1">
      <c r="A28" s="31" t="s">
        <v>112</v>
      </c>
      <c r="B28" s="53">
        <f>(B24*((B21+B22+B23)/100))</f>
        <v>5.876639999999999</v>
      </c>
      <c r="C28" s="2" t="s">
        <v>65</v>
      </c>
      <c r="D28" s="47"/>
      <c r="E28" s="55"/>
      <c r="F28" s="47"/>
      <c r="G28" s="56"/>
      <c r="H28" s="47"/>
      <c r="I28" s="47"/>
      <c r="J28" s="47"/>
    </row>
    <row r="29" spans="1:10" ht="12.75" customHeight="1">
      <c r="A29" s="31" t="s">
        <v>113</v>
      </c>
      <c r="B29" s="53">
        <f>(B28+B26)</f>
        <v>20.87664</v>
      </c>
      <c r="C29" s="2" t="s">
        <v>65</v>
      </c>
      <c r="D29" s="47"/>
      <c r="E29" s="55"/>
      <c r="F29" s="47"/>
      <c r="G29" s="56"/>
      <c r="H29" s="47"/>
      <c r="I29" s="47"/>
      <c r="J29" s="47"/>
    </row>
    <row r="30" spans="1:10" ht="12.75" customHeight="1">
      <c r="A30" s="22"/>
      <c r="B30" s="32"/>
      <c r="D30" s="47"/>
      <c r="E30" s="55"/>
      <c r="F30" s="47"/>
      <c r="G30" s="56"/>
      <c r="H30" s="47"/>
      <c r="I30" s="47"/>
      <c r="J30" s="47"/>
    </row>
    <row r="31" spans="1:10" ht="12.75" customHeight="1">
      <c r="A31" s="2" t="s">
        <v>67</v>
      </c>
      <c r="B31" s="32"/>
      <c r="D31" s="47"/>
      <c r="E31" s="55"/>
      <c r="F31" s="47"/>
      <c r="G31" s="56"/>
      <c r="H31" s="47"/>
      <c r="I31" s="48" t="s">
        <v>95</v>
      </c>
      <c r="J31" s="48" t="s">
        <v>91</v>
      </c>
    </row>
    <row r="32" spans="1:10" ht="12.75" customHeight="1">
      <c r="A32" s="22"/>
      <c r="B32" s="32"/>
      <c r="D32" s="47"/>
      <c r="E32" s="55"/>
      <c r="F32" s="47"/>
      <c r="G32" s="56"/>
      <c r="H32" s="47"/>
      <c r="I32" s="47"/>
      <c r="J32" s="47"/>
    </row>
    <row r="33" spans="1:10" ht="12.75" customHeight="1">
      <c r="A33" s="22" t="s">
        <v>69</v>
      </c>
      <c r="B33" s="32"/>
      <c r="C33" s="42" t="s">
        <v>117</v>
      </c>
      <c r="D33" s="47"/>
      <c r="E33" s="55"/>
      <c r="F33" s="47"/>
      <c r="G33" s="56"/>
      <c r="H33" s="47"/>
      <c r="I33" s="47"/>
      <c r="J33" s="47"/>
    </row>
    <row r="34" spans="1:10" ht="12.75" customHeight="1">
      <c r="A34" s="22" t="s">
        <v>88</v>
      </c>
      <c r="B34" s="43">
        <v>3</v>
      </c>
      <c r="C34" s="38" t="s">
        <v>26</v>
      </c>
      <c r="D34" s="47"/>
      <c r="E34" s="55"/>
      <c r="F34" s="47"/>
      <c r="G34" s="56"/>
      <c r="H34" s="47"/>
      <c r="I34" s="47"/>
      <c r="J34" s="47"/>
    </row>
    <row r="35" spans="1:10" ht="12.75" customHeight="1">
      <c r="A35" s="22" t="s">
        <v>66</v>
      </c>
      <c r="B35" s="43">
        <v>3.2</v>
      </c>
      <c r="C35" s="22" t="s">
        <v>65</v>
      </c>
      <c r="D35" s="47"/>
      <c r="E35" s="55"/>
      <c r="F35" s="47"/>
      <c r="G35" s="56"/>
      <c r="H35" s="47"/>
      <c r="I35" s="47"/>
      <c r="J35" s="47"/>
    </row>
    <row r="36" spans="1:10" ht="12.75" customHeight="1">
      <c r="A36" s="22" t="s">
        <v>97</v>
      </c>
      <c r="B36" s="43">
        <v>20</v>
      </c>
      <c r="C36" s="22" t="s">
        <v>65</v>
      </c>
      <c r="D36" s="47"/>
      <c r="E36" s="55"/>
      <c r="F36" s="47"/>
      <c r="G36" s="56"/>
      <c r="H36" s="47"/>
      <c r="I36" s="47"/>
      <c r="J36" s="47"/>
    </row>
    <row r="37" spans="1:10" ht="12.75" customHeight="1">
      <c r="A37" s="22" t="s">
        <v>68</v>
      </c>
      <c r="B37" s="43">
        <v>5</v>
      </c>
      <c r="C37" s="22" t="s">
        <v>65</v>
      </c>
      <c r="D37" s="47"/>
      <c r="E37" s="55"/>
      <c r="F37" s="47"/>
      <c r="G37" s="56"/>
      <c r="H37" s="47"/>
      <c r="I37" s="47"/>
      <c r="J37" s="47"/>
    </row>
    <row r="38" spans="1:10" ht="12.75" customHeight="1">
      <c r="A38" s="22" t="s">
        <v>109</v>
      </c>
      <c r="B38" s="44">
        <v>1.81</v>
      </c>
      <c r="C38" s="52" t="s">
        <v>79</v>
      </c>
      <c r="D38" s="47"/>
      <c r="E38" s="47"/>
      <c r="F38" s="47"/>
      <c r="G38" s="47"/>
      <c r="H38" s="49"/>
      <c r="I38" s="48"/>
      <c r="J38" s="47"/>
    </row>
    <row r="39" spans="1:10" ht="12.75" customHeight="1">
      <c r="A39" s="22"/>
      <c r="B39" s="7"/>
      <c r="C39" s="52"/>
      <c r="D39" s="47"/>
      <c r="E39" s="47"/>
      <c r="F39" s="47"/>
      <c r="G39" s="47"/>
      <c r="H39" s="49"/>
      <c r="I39" s="48"/>
      <c r="J39" s="47"/>
    </row>
    <row r="40" spans="1:10" ht="12.75" customHeight="1">
      <c r="A40" s="22" t="s">
        <v>78</v>
      </c>
      <c r="B40" s="43">
        <v>90.5</v>
      </c>
      <c r="C40" s="22" t="s">
        <v>65</v>
      </c>
      <c r="D40" s="47"/>
      <c r="E40" s="55"/>
      <c r="F40" s="47"/>
      <c r="G40" s="47"/>
      <c r="H40" s="49"/>
      <c r="I40" s="48"/>
      <c r="J40" s="47"/>
    </row>
    <row r="41" spans="1:10" ht="12.75" customHeight="1">
      <c r="A41" s="22"/>
      <c r="B41" s="49"/>
      <c r="C41" s="48"/>
      <c r="D41" s="47"/>
      <c r="E41" s="55"/>
      <c r="F41" s="47"/>
      <c r="G41" s="47"/>
      <c r="H41" s="49"/>
      <c r="I41" s="48"/>
      <c r="J41" s="47"/>
    </row>
    <row r="42" spans="1:10" ht="12.75" customHeight="1">
      <c r="A42" s="31" t="s">
        <v>112</v>
      </c>
      <c r="B42" s="54">
        <f>(B38*((B36+B35+B37)/100))</f>
        <v>0.51042</v>
      </c>
      <c r="C42" s="61" t="s">
        <v>65</v>
      </c>
      <c r="D42" s="47"/>
      <c r="E42" s="55"/>
      <c r="F42" s="47"/>
      <c r="G42" s="47"/>
      <c r="H42" s="49"/>
      <c r="I42" s="48"/>
      <c r="J42" s="47"/>
    </row>
    <row r="43" spans="1:10" ht="12.75" customHeight="1">
      <c r="A43" s="31" t="s">
        <v>116</v>
      </c>
      <c r="B43" s="54">
        <f>(B42+(B19-B40))</f>
        <v>7.01042</v>
      </c>
      <c r="C43" s="61" t="s">
        <v>65</v>
      </c>
      <c r="D43" s="47"/>
      <c r="E43" s="55"/>
      <c r="F43" s="47"/>
      <c r="G43" s="47"/>
      <c r="H43" s="49"/>
      <c r="I43" s="48"/>
      <c r="J43" s="47"/>
    </row>
    <row r="44" spans="1:10" ht="12.75" customHeight="1">
      <c r="A44" s="31"/>
      <c r="B44" s="54"/>
      <c r="C44" s="61"/>
      <c r="D44" s="47"/>
      <c r="E44" s="55"/>
      <c r="F44" s="47"/>
      <c r="G44" s="47"/>
      <c r="H44" s="49"/>
      <c r="I44" s="48"/>
      <c r="J44" s="47"/>
    </row>
    <row r="45" spans="1:10" ht="12.75" customHeight="1">
      <c r="A45" s="31"/>
      <c r="B45" s="54"/>
      <c r="C45" s="61"/>
      <c r="D45" s="47"/>
      <c r="E45" s="55"/>
      <c r="F45" s="47"/>
      <c r="G45" s="47"/>
      <c r="H45" s="49"/>
      <c r="I45" s="48"/>
      <c r="J45" s="47"/>
    </row>
    <row r="46" spans="1:10" ht="12.75" customHeight="1">
      <c r="A46" s="37" t="s">
        <v>54</v>
      </c>
      <c r="B46" s="65"/>
      <c r="C46" s="65"/>
      <c r="D46" s="57" t="s">
        <v>120</v>
      </c>
      <c r="E46" s="55"/>
      <c r="F46" s="47"/>
      <c r="G46" s="47"/>
      <c r="H46" s="49"/>
      <c r="I46" s="48"/>
      <c r="J46" s="47"/>
    </row>
    <row r="47" spans="2:10" ht="12.75" customHeight="1">
      <c r="B47" s="47"/>
      <c r="C47" s="47"/>
      <c r="D47" s="47"/>
      <c r="E47" s="55"/>
      <c r="F47" s="47"/>
      <c r="G47" s="47"/>
      <c r="H47" s="49"/>
      <c r="I47" s="48"/>
      <c r="J47" s="47"/>
    </row>
    <row r="48" spans="1:11" ht="12.75" customHeight="1">
      <c r="A48" s="24" t="s">
        <v>64</v>
      </c>
      <c r="B48" s="70" t="str">
        <f>(B3)</f>
        <v>Video Design</v>
      </c>
      <c r="C48" s="70"/>
      <c r="D48" s="70"/>
      <c r="E48" s="55"/>
      <c r="F48" s="47"/>
      <c r="G48" s="47"/>
      <c r="H48" s="49"/>
      <c r="I48" s="48"/>
      <c r="J48" s="47"/>
      <c r="K48" s="47"/>
    </row>
    <row r="49" spans="1:11" ht="12.75" customHeight="1">
      <c r="A49" s="1" t="s">
        <v>47</v>
      </c>
      <c r="B49" s="71" t="str">
        <f>(B4)</f>
        <v>Lancaster County</v>
      </c>
      <c r="C49" s="71"/>
      <c r="D49" s="7"/>
      <c r="E49" s="55"/>
      <c r="F49" s="47"/>
      <c r="G49" s="47"/>
      <c r="H49" s="49"/>
      <c r="I49" s="48"/>
      <c r="J49" s="47"/>
      <c r="K49" s="47"/>
    </row>
    <row r="50" spans="1:11" ht="12.75" customHeight="1">
      <c r="A50" s="1"/>
      <c r="B50" s="58"/>
      <c r="C50" s="58"/>
      <c r="D50" s="7"/>
      <c r="E50" s="55"/>
      <c r="F50" s="47"/>
      <c r="G50" s="47"/>
      <c r="H50" s="49"/>
      <c r="I50" s="48"/>
      <c r="J50" s="47"/>
      <c r="K50" s="47"/>
    </row>
    <row r="51" spans="1:11" ht="12.75" customHeight="1">
      <c r="A51" s="1" t="s">
        <v>46</v>
      </c>
      <c r="B51" s="59">
        <f>(B6)</f>
        <v>41647</v>
      </c>
      <c r="C51" s="58"/>
      <c r="D51" s="7"/>
      <c r="E51" s="55"/>
      <c r="F51" s="47"/>
      <c r="G51" s="47"/>
      <c r="H51" s="49"/>
      <c r="I51" s="48"/>
      <c r="J51" s="47"/>
      <c r="K51" s="47"/>
    </row>
    <row r="52" spans="1:11" ht="12.75" customHeight="1">
      <c r="A52" s="1" t="s">
        <v>48</v>
      </c>
      <c r="B52" s="60" t="str">
        <f>(B7)</f>
        <v>jgross</v>
      </c>
      <c r="C52" s="58"/>
      <c r="D52" s="7"/>
      <c r="E52" s="55"/>
      <c r="F52" s="47"/>
      <c r="G52" s="47"/>
      <c r="H52" s="49"/>
      <c r="I52" s="48"/>
      <c r="J52" s="47"/>
      <c r="K52" s="47"/>
    </row>
    <row r="53" spans="1:11" ht="12.75" customHeight="1">
      <c r="A53" s="31"/>
      <c r="B53" s="54"/>
      <c r="C53" s="61"/>
      <c r="D53" s="47"/>
      <c r="E53" s="55"/>
      <c r="F53" s="47"/>
      <c r="G53" s="47"/>
      <c r="H53" s="49"/>
      <c r="I53" s="48"/>
      <c r="J53" s="47"/>
      <c r="K53" s="47"/>
    </row>
    <row r="54" spans="1:11" ht="12.75" customHeight="1">
      <c r="A54" s="22"/>
      <c r="B54" s="49"/>
      <c r="C54" s="48"/>
      <c r="D54" s="47"/>
      <c r="E54" s="55"/>
      <c r="F54" s="47"/>
      <c r="G54" s="47"/>
      <c r="H54" s="49"/>
      <c r="I54" s="48"/>
      <c r="J54" s="47"/>
      <c r="K54" s="47"/>
    </row>
    <row r="55" spans="1:11" ht="12.75" customHeight="1">
      <c r="A55" s="2" t="s">
        <v>73</v>
      </c>
      <c r="B55" s="62"/>
      <c r="C55" s="47"/>
      <c r="D55" s="47"/>
      <c r="E55" s="55"/>
      <c r="F55" s="47"/>
      <c r="G55" s="56"/>
      <c r="H55" s="47"/>
      <c r="I55" s="47"/>
      <c r="J55" s="47"/>
      <c r="K55" s="47"/>
    </row>
    <row r="56" spans="1:11" ht="12.75" customHeight="1">
      <c r="A56" s="22"/>
      <c r="B56" s="62"/>
      <c r="C56" s="47"/>
      <c r="D56" s="47"/>
      <c r="E56" s="55"/>
      <c r="F56" s="47"/>
      <c r="G56" s="56"/>
      <c r="H56" s="47"/>
      <c r="I56" s="47"/>
      <c r="J56" s="47"/>
      <c r="K56" s="47"/>
    </row>
    <row r="57" spans="1:11" ht="12.75" customHeight="1">
      <c r="A57" s="22" t="s">
        <v>74</v>
      </c>
      <c r="B57" s="32"/>
      <c r="C57" s="42" t="s">
        <v>53</v>
      </c>
      <c r="D57" s="47"/>
      <c r="E57" s="55"/>
      <c r="F57" s="47"/>
      <c r="G57" s="56"/>
      <c r="H57" s="47"/>
      <c r="I57" s="47"/>
      <c r="J57" s="47"/>
      <c r="K57" s="47"/>
    </row>
    <row r="58" spans="1:11" ht="12.75" customHeight="1">
      <c r="A58" s="22" t="s">
        <v>122</v>
      </c>
      <c r="B58" s="66" t="s">
        <v>96</v>
      </c>
      <c r="C58" s="67"/>
      <c r="D58" s="47"/>
      <c r="E58" s="55"/>
      <c r="F58" s="47"/>
      <c r="G58" s="56"/>
      <c r="H58" s="47"/>
      <c r="I58" s="47"/>
      <c r="J58" s="47"/>
      <c r="K58" s="47"/>
    </row>
    <row r="59" spans="1:11" ht="12.75" customHeight="1">
      <c r="A59" s="22" t="s">
        <v>75</v>
      </c>
      <c r="B59" s="43">
        <v>660</v>
      </c>
      <c r="C59" s="22" t="s">
        <v>65</v>
      </c>
      <c r="D59" s="47"/>
      <c r="E59" s="63"/>
      <c r="F59" s="64"/>
      <c r="G59" s="47"/>
      <c r="H59" s="47"/>
      <c r="I59" s="47"/>
      <c r="J59" s="47"/>
      <c r="K59" s="47"/>
    </row>
    <row r="60" spans="1:11" ht="12.75" customHeight="1">
      <c r="A60" s="22" t="s">
        <v>76</v>
      </c>
      <c r="B60" s="43">
        <v>4</v>
      </c>
      <c r="C60" s="22" t="s">
        <v>26</v>
      </c>
      <c r="D60" s="47"/>
      <c r="E60" s="63"/>
      <c r="F60" s="64"/>
      <c r="G60" s="47"/>
      <c r="H60" s="47"/>
      <c r="I60" s="47"/>
      <c r="J60" s="47"/>
      <c r="K60" s="47"/>
    </row>
    <row r="61" spans="1:11" ht="12.75">
      <c r="A61" s="22" t="s">
        <v>110</v>
      </c>
      <c r="B61" s="43">
        <v>29.8</v>
      </c>
      <c r="C61" s="27" t="s">
        <v>65</v>
      </c>
      <c r="D61" s="47"/>
      <c r="E61" s="64"/>
      <c r="F61" s="64"/>
      <c r="G61" s="47"/>
      <c r="H61" s="47"/>
      <c r="I61" s="47"/>
      <c r="J61" s="47"/>
      <c r="K61" s="47"/>
    </row>
    <row r="62" spans="1:11" ht="12.75">
      <c r="A62" s="22" t="s">
        <v>109</v>
      </c>
      <c r="B62" s="44">
        <v>0.449</v>
      </c>
      <c r="C62" s="26" t="s">
        <v>79</v>
      </c>
      <c r="D62" s="47"/>
      <c r="E62" s="64"/>
      <c r="F62" s="64"/>
      <c r="G62" s="47"/>
      <c r="H62" s="47"/>
      <c r="I62" s="47"/>
      <c r="J62" s="47"/>
      <c r="K62" s="47"/>
    </row>
    <row r="63" spans="1:11" ht="12.75">
      <c r="A63" s="22"/>
      <c r="B63" s="49"/>
      <c r="C63" s="27"/>
      <c r="D63" s="47"/>
      <c r="E63" s="64"/>
      <c r="F63" s="64"/>
      <c r="G63" s="47"/>
      <c r="H63" s="47"/>
      <c r="I63" s="47"/>
      <c r="J63" s="47"/>
      <c r="K63" s="47"/>
    </row>
    <row r="64" spans="1:11" ht="12.75">
      <c r="A64" s="22" t="s">
        <v>80</v>
      </c>
      <c r="B64" s="43">
        <v>101.2</v>
      </c>
      <c r="C64" s="22" t="s">
        <v>65</v>
      </c>
      <c r="D64" s="47"/>
      <c r="E64" s="47"/>
      <c r="F64" s="47"/>
      <c r="G64" s="47"/>
      <c r="H64" s="47"/>
      <c r="I64" s="47"/>
      <c r="J64" s="47"/>
      <c r="K64" s="47"/>
    </row>
    <row r="65" spans="1:11" ht="12.75">
      <c r="A65" s="22" t="s">
        <v>81</v>
      </c>
      <c r="B65" s="43">
        <v>89</v>
      </c>
      <c r="C65" s="22" t="s">
        <v>65</v>
      </c>
      <c r="D65" s="47"/>
      <c r="E65" s="47"/>
      <c r="F65" s="47"/>
      <c r="G65" s="47"/>
      <c r="H65" s="47"/>
      <c r="I65" s="47"/>
      <c r="J65" s="47"/>
      <c r="K65" s="47"/>
    </row>
    <row r="66" spans="2:11" ht="12.75">
      <c r="B66" s="32"/>
      <c r="D66" s="47"/>
      <c r="E66" s="47"/>
      <c r="F66" s="47"/>
      <c r="G66" s="47"/>
      <c r="H66" s="47"/>
      <c r="I66" s="47"/>
      <c r="J66" s="47"/>
      <c r="K66" s="47"/>
    </row>
    <row r="67" spans="1:11" ht="12.75">
      <c r="A67" s="22" t="s">
        <v>98</v>
      </c>
      <c r="B67" s="32"/>
      <c r="D67" s="47"/>
      <c r="E67" s="48"/>
      <c r="F67" s="47"/>
      <c r="G67" s="47"/>
      <c r="H67" s="47"/>
      <c r="I67" s="47"/>
      <c r="J67" s="47"/>
      <c r="K67" s="47"/>
    </row>
    <row r="68" spans="1:5" ht="12.75">
      <c r="A68" s="22" t="s">
        <v>99</v>
      </c>
      <c r="B68" s="32">
        <f>(D68*2.31)</f>
        <v>103.95</v>
      </c>
      <c r="C68" s="27" t="s">
        <v>65</v>
      </c>
      <c r="D68" s="45">
        <v>45</v>
      </c>
      <c r="E68" s="22" t="s">
        <v>84</v>
      </c>
    </row>
    <row r="69" spans="2:4" ht="12.75">
      <c r="B69" s="32"/>
      <c r="C69" s="28"/>
      <c r="D69" s="17"/>
    </row>
    <row r="70" spans="1:4" ht="12.75">
      <c r="A70" s="31" t="s">
        <v>112</v>
      </c>
      <c r="B70" s="53">
        <f>(B62*((B59+B61)/100))</f>
        <v>3.097202</v>
      </c>
      <c r="C70" s="2" t="s">
        <v>65</v>
      </c>
      <c r="D70" s="17"/>
    </row>
    <row r="71" spans="2:4" ht="12.75">
      <c r="B71" s="32"/>
      <c r="C71" s="28"/>
      <c r="D71" s="17"/>
    </row>
    <row r="72" spans="1:4" ht="12.75">
      <c r="A72" s="31" t="s">
        <v>83</v>
      </c>
      <c r="B72" s="35">
        <f>(B29+B43+B68+B70+(B64-B19))</f>
        <v>139.13426200000004</v>
      </c>
      <c r="C72" s="30" t="s">
        <v>82</v>
      </c>
      <c r="D72" s="17"/>
    </row>
    <row r="73" spans="2:4" ht="12.75">
      <c r="B73" s="35">
        <f>(B72/2.31)</f>
        <v>60.23128225108226</v>
      </c>
      <c r="C73" s="27" t="s">
        <v>85</v>
      </c>
      <c r="D73" s="17"/>
    </row>
    <row r="74" spans="2:4" ht="12.75">
      <c r="B74" s="35">
        <f>((B72+(B19-B65))/2.31)</f>
        <v>63.694485714285726</v>
      </c>
      <c r="C74" s="27" t="s">
        <v>121</v>
      </c>
      <c r="D74" s="17"/>
    </row>
    <row r="75" spans="2:4" ht="12.75">
      <c r="B75" s="35"/>
      <c r="C75" s="27"/>
      <c r="D75" s="17"/>
    </row>
    <row r="76" spans="2:3" ht="12.75">
      <c r="B76" s="32"/>
      <c r="C76" s="22"/>
    </row>
    <row r="77" spans="1:5" ht="12.75">
      <c r="A77" s="2" t="s">
        <v>86</v>
      </c>
      <c r="B77" s="46">
        <v>0.6</v>
      </c>
      <c r="C77" s="22" t="s">
        <v>114</v>
      </c>
      <c r="D77" s="36">
        <f>B13*B72/(3960*B77)</f>
        <v>5.117858332775706</v>
      </c>
      <c r="E77" s="2" t="s">
        <v>87</v>
      </c>
    </row>
    <row r="78" spans="3:4" ht="12.75">
      <c r="C78" s="17"/>
      <c r="D78" s="15"/>
    </row>
    <row r="79" spans="3:4" ht="12.75">
      <c r="C79" s="17"/>
      <c r="D79" s="15"/>
    </row>
    <row r="80" spans="1:4" ht="12.75">
      <c r="A80" s="2"/>
      <c r="C80" s="19"/>
      <c r="D80" s="15"/>
    </row>
    <row r="82" spans="1:7" ht="12.75">
      <c r="A82" s="2"/>
      <c r="G82" s="19"/>
    </row>
    <row r="83" spans="1:6" ht="12.75">
      <c r="A83" s="2"/>
      <c r="F83" s="18"/>
    </row>
    <row r="85" ht="12.75">
      <c r="A85" s="14"/>
    </row>
    <row r="86" ht="12.75">
      <c r="A86" s="14"/>
    </row>
    <row r="88" spans="2:10" ht="12.75">
      <c r="B88" s="15"/>
      <c r="C88" s="15"/>
      <c r="D88" s="15"/>
      <c r="E88" s="15"/>
      <c r="F88" s="15"/>
      <c r="G88" s="15"/>
      <c r="H88" s="15"/>
      <c r="I88" s="15"/>
      <c r="J88" s="20"/>
    </row>
    <row r="89" spans="2:10" ht="12.75">
      <c r="B89" s="15"/>
      <c r="C89" s="15"/>
      <c r="D89" s="15"/>
      <c r="E89" s="15"/>
      <c r="F89" s="15"/>
      <c r="G89" s="15"/>
      <c r="H89" s="15"/>
      <c r="I89" s="15"/>
      <c r="J89" s="20"/>
    </row>
    <row r="90" spans="2:10" ht="12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ht="12.75">
      <c r="B91" s="16"/>
      <c r="C91" s="15"/>
      <c r="D91" s="15"/>
      <c r="E91" s="15"/>
      <c r="F91" s="15"/>
      <c r="G91" s="15"/>
      <c r="H91" s="15"/>
      <c r="I91" s="15"/>
      <c r="J91" s="20"/>
    </row>
    <row r="92" spans="2:10" ht="12.75">
      <c r="B92" s="16"/>
      <c r="C92" s="15"/>
      <c r="D92" s="15"/>
      <c r="E92" s="15"/>
      <c r="F92" s="15"/>
      <c r="G92" s="15"/>
      <c r="H92" s="15"/>
      <c r="I92" s="15"/>
      <c r="J92" s="20"/>
    </row>
    <row r="93" spans="2:10" ht="12.75">
      <c r="B93" s="16"/>
      <c r="C93" s="15"/>
      <c r="D93" s="15"/>
      <c r="E93" s="15"/>
      <c r="F93" s="15"/>
      <c r="G93" s="15"/>
      <c r="H93" s="15"/>
      <c r="I93" s="15"/>
      <c r="J93" s="15"/>
    </row>
  </sheetData>
  <sheetProtection password="C7F0" sheet="1" selectLockedCells="1"/>
  <mergeCells count="5">
    <mergeCell ref="B58:C58"/>
    <mergeCell ref="B3:D3"/>
    <mergeCell ref="B4:C4"/>
    <mergeCell ref="B48:D48"/>
    <mergeCell ref="B49:C49"/>
  </mergeCells>
  <dataValidations count="4">
    <dataValidation type="list" allowBlank="1" showInputMessage="1" showErrorMessage="1" sqref="C17">
      <formula1>$L$13:$L$15</formula1>
    </dataValidation>
    <dataValidation type="list" allowBlank="1" showInputMessage="1" showErrorMessage="1" sqref="C57">
      <formula1>$L$3:$L$6</formula1>
    </dataValidation>
    <dataValidation type="list" allowBlank="1" showInputMessage="1" showErrorMessage="1" sqref="C18">
      <formula1>$L$18:$L$20</formula1>
    </dataValidation>
    <dataValidation type="list" allowBlank="1" showInputMessage="1" showErrorMessage="1" sqref="C33">
      <formula1>$L$18:$L$21</formula1>
    </dataValidation>
  </dataValidations>
  <printOptions/>
  <pageMargins left="0.25" right="0.25" top="0.75" bottom="0.75" header="0.3" footer="0.3"/>
  <pageSetup orientation="portrait" r:id="rId1"/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="125" zoomScaleNormal="125" zoomScalePageLayoutView="0" workbookViewId="0" topLeftCell="A1">
      <selection activeCell="B8" sqref="B8"/>
    </sheetView>
  </sheetViews>
  <sheetFormatPr defaultColWidth="9.140625" defaultRowHeight="12.75"/>
  <cols>
    <col min="1" max="1" width="27.28125" style="0" customWidth="1"/>
    <col min="4" max="4" width="10.7109375" style="0" customWidth="1"/>
    <col min="5" max="5" width="13.7109375" style="0" customWidth="1"/>
    <col min="6" max="6" width="15.7109375" style="0" customWidth="1"/>
    <col min="7" max="7" width="13.00390625" style="0" customWidth="1"/>
  </cols>
  <sheetData>
    <row r="1" ht="15.75">
      <c r="A1" s="3" t="s">
        <v>92</v>
      </c>
    </row>
    <row r="3" spans="1:3" ht="12.75">
      <c r="A3" s="2" t="s">
        <v>93</v>
      </c>
      <c r="B3" s="42" t="s">
        <v>104</v>
      </c>
      <c r="C3" s="22" t="s">
        <v>94</v>
      </c>
    </row>
    <row r="4" ht="12.75">
      <c r="B4" s="1"/>
    </row>
    <row r="5" spans="1:6" ht="12.75">
      <c r="A5" s="2" t="s">
        <v>0</v>
      </c>
      <c r="B5" s="42">
        <v>45</v>
      </c>
      <c r="C5" s="1" t="s">
        <v>34</v>
      </c>
      <c r="F5" s="2" t="s">
        <v>100</v>
      </c>
    </row>
    <row r="6" spans="1:3" ht="12.75">
      <c r="A6" s="2" t="s">
        <v>1</v>
      </c>
      <c r="B6" s="42">
        <v>99.1</v>
      </c>
      <c r="C6" s="1" t="s">
        <v>33</v>
      </c>
    </row>
    <row r="7" spans="1:6" ht="12.75">
      <c r="A7" s="2"/>
      <c r="B7" s="1"/>
      <c r="F7" s="13" t="s">
        <v>40</v>
      </c>
    </row>
    <row r="8" spans="1:6" ht="12.75">
      <c r="A8" s="2" t="s">
        <v>101</v>
      </c>
      <c r="B8" s="42">
        <v>1.478</v>
      </c>
      <c r="C8" s="1" t="s">
        <v>26</v>
      </c>
      <c r="F8" s="13" t="s">
        <v>41</v>
      </c>
    </row>
    <row r="9" spans="1:6" ht="12.75">
      <c r="A9" s="2" t="s">
        <v>102</v>
      </c>
      <c r="B9" s="50">
        <f>((((B8/12)/2))^2*3.14159)</f>
        <v>0.01191450189159722</v>
      </c>
      <c r="C9" s="1" t="s">
        <v>27</v>
      </c>
      <c r="F9" s="13" t="s">
        <v>42</v>
      </c>
    </row>
    <row r="10" spans="1:6" ht="12.75">
      <c r="A10" s="2" t="s">
        <v>103</v>
      </c>
      <c r="B10" s="51">
        <v>19.95</v>
      </c>
      <c r="C10" s="1" t="s">
        <v>23</v>
      </c>
      <c r="D10" s="5">
        <f>(B10/448.8)</f>
        <v>0.04445187165775401</v>
      </c>
      <c r="E10" t="s">
        <v>36</v>
      </c>
      <c r="F10" s="13" t="s">
        <v>43</v>
      </c>
    </row>
    <row r="11" spans="1:5" ht="12.75">
      <c r="A11" s="2" t="s">
        <v>39</v>
      </c>
      <c r="B11" s="51">
        <v>40</v>
      </c>
      <c r="C11" s="1" t="s">
        <v>23</v>
      </c>
      <c r="D11" s="5">
        <f>(B11/448.8)</f>
        <v>0.08912655971479501</v>
      </c>
      <c r="E11" t="s">
        <v>36</v>
      </c>
    </row>
    <row r="12" spans="1:4" ht="12.75">
      <c r="A12" s="2" t="s">
        <v>37</v>
      </c>
      <c r="B12" s="42">
        <v>2.4</v>
      </c>
      <c r="C12" s="1" t="s">
        <v>26</v>
      </c>
      <c r="D12" s="5"/>
    </row>
    <row r="13" spans="1:4" ht="12.75">
      <c r="A13" s="2" t="s">
        <v>38</v>
      </c>
      <c r="B13" s="50">
        <f>((((B12/12)/2))^2*3.14159)</f>
        <v>0.0314159</v>
      </c>
      <c r="C13" s="1" t="s">
        <v>27</v>
      </c>
      <c r="D13" s="5"/>
    </row>
    <row r="14" spans="1:4" ht="12.75">
      <c r="A14" s="2"/>
      <c r="B14" s="10"/>
      <c r="C14" s="1"/>
      <c r="D14" s="5"/>
    </row>
    <row r="15" spans="1:3" ht="12.75">
      <c r="A15" s="2" t="s">
        <v>28</v>
      </c>
      <c r="B15" s="42">
        <v>2.85</v>
      </c>
      <c r="C15" s="1" t="s">
        <v>35</v>
      </c>
    </row>
    <row r="17" ht="12.75">
      <c r="A17" s="6" t="s">
        <v>29</v>
      </c>
    </row>
    <row r="18" ht="12.75">
      <c r="A18" s="6" t="s">
        <v>30</v>
      </c>
    </row>
    <row r="19" spans="1:16" ht="12.75">
      <c r="A19" s="6"/>
      <c r="O19" s="24" t="s">
        <v>90</v>
      </c>
      <c r="P19" s="22" t="s">
        <v>91</v>
      </c>
    </row>
    <row r="20" ht="12.75">
      <c r="A20" s="6" t="s">
        <v>44</v>
      </c>
    </row>
    <row r="21" ht="12.75">
      <c r="A21" s="6" t="s">
        <v>45</v>
      </c>
    </row>
    <row r="23" spans="2:7" ht="12.75">
      <c r="B23" s="1"/>
      <c r="C23" s="1"/>
      <c r="D23" s="1"/>
      <c r="E23" s="1"/>
      <c r="F23" s="8" t="s">
        <v>25</v>
      </c>
      <c r="G23" s="1"/>
    </row>
    <row r="24" spans="1:17" ht="12.75">
      <c r="A24" s="4" t="s">
        <v>2</v>
      </c>
      <c r="B24" s="9" t="s">
        <v>19</v>
      </c>
      <c r="C24" s="9" t="s">
        <v>20</v>
      </c>
      <c r="D24" s="9" t="s">
        <v>21</v>
      </c>
      <c r="E24" s="9" t="s">
        <v>22</v>
      </c>
      <c r="F24" s="9" t="s">
        <v>32</v>
      </c>
      <c r="G24" s="9" t="s">
        <v>31</v>
      </c>
      <c r="Q24" t="s">
        <v>24</v>
      </c>
    </row>
    <row r="25" spans="2:7" ht="12.75">
      <c r="B25" s="1"/>
      <c r="C25" s="1"/>
      <c r="D25" s="1"/>
      <c r="E25" s="1"/>
      <c r="F25" s="1"/>
      <c r="G25" s="1"/>
    </row>
    <row r="26" spans="1:17" ht="12.75">
      <c r="A26" s="42">
        <v>0</v>
      </c>
      <c r="B26" s="1" t="s">
        <v>3</v>
      </c>
      <c r="C26" s="10">
        <f>(B6)</f>
        <v>99.1</v>
      </c>
      <c r="D26" s="11">
        <f>(B11)</f>
        <v>40</v>
      </c>
      <c r="E26" s="11">
        <f>((D26/448.8)/B13)</f>
        <v>2.8369889041789356</v>
      </c>
      <c r="F26" s="1"/>
      <c r="G26" s="11"/>
      <c r="Q26">
        <f>((100*(D26/150)^1.85185)*(10.4057/(B8^4.87037)))</f>
        <v>13.423761403771005</v>
      </c>
    </row>
    <row r="27" spans="1:17" ht="12.75">
      <c r="A27" s="42">
        <v>60</v>
      </c>
      <c r="B27" s="1" t="s">
        <v>4</v>
      </c>
      <c r="C27" s="42">
        <v>99.3</v>
      </c>
      <c r="D27" s="11">
        <f>(B10)</f>
        <v>19.95</v>
      </c>
      <c r="E27" s="11">
        <f>((D27/448.8)/B9)</f>
        <v>3.7309047463498226</v>
      </c>
      <c r="F27" s="12">
        <f>((A27-A26)*(Q27/100))</f>
        <v>2.221007060613076</v>
      </c>
      <c r="G27" s="11">
        <f>(B5-(((C27-C26)+SUM(F26:F27))/2.31))</f>
        <v>43.9519449954056</v>
      </c>
      <c r="Q27">
        <f>((100*(D27/150)^1.85185)*(10.4057/(B8^4.87037)))</f>
        <v>3.701678434355127</v>
      </c>
    </row>
    <row r="28" spans="1:17" ht="12.75">
      <c r="A28" s="42">
        <v>100</v>
      </c>
      <c r="B28" s="1" t="s">
        <v>5</v>
      </c>
      <c r="C28" s="42">
        <v>98.9</v>
      </c>
      <c r="D28" s="11">
        <f>(D27-B15)</f>
        <v>17.099999999999998</v>
      </c>
      <c r="E28" s="11">
        <f>((D28/448.8)/B9)</f>
        <v>3.197918354014133</v>
      </c>
      <c r="F28" s="12">
        <f>((A28-A27)*(Q28/100))</f>
        <v>1.1129695121108676</v>
      </c>
      <c r="G28" s="11">
        <f>(B5-(((C28-C26)+SUM(F27:F28))/2.31))</f>
        <v>43.643300184967984</v>
      </c>
      <c r="Q28">
        <f>((100*(D28/150)^1.85185)*(10.4057/(B8^4.87037)))</f>
        <v>2.7824237802771687</v>
      </c>
    </row>
    <row r="29" spans="1:17" ht="12.75">
      <c r="A29" s="42">
        <v>140</v>
      </c>
      <c r="B29" s="1" t="s">
        <v>6</v>
      </c>
      <c r="C29" s="42">
        <v>98.4</v>
      </c>
      <c r="D29" s="11">
        <f>(D28-B15)</f>
        <v>14.249999999999998</v>
      </c>
      <c r="E29" s="11">
        <f>((D29/448.8)/B9)</f>
        <v>2.664931961678444</v>
      </c>
      <c r="F29" s="12">
        <f aca="true" t="shared" si="0" ref="F29:F41">((A29-A28)*(Q29/100))</f>
        <v>0.794056631823642</v>
      </c>
      <c r="G29" s="11">
        <f>(B5-(((C29-C26)+SUM(F27:F29))/2.31))</f>
        <v>43.51600294175429</v>
      </c>
      <c r="Q29">
        <f>((100*(D29/150)^1.85185)*(10.4057/(B8^4.87037)))</f>
        <v>1.9851415795591048</v>
      </c>
    </row>
    <row r="30" spans="1:17" ht="12.75">
      <c r="A30" s="42">
        <v>180</v>
      </c>
      <c r="B30" s="1" t="s">
        <v>7</v>
      </c>
      <c r="C30" s="42">
        <v>97.9</v>
      </c>
      <c r="D30" s="11">
        <f>(D29-B15)</f>
        <v>11.399999999999999</v>
      </c>
      <c r="E30" s="11">
        <f>((D30/448.8)/B9)</f>
        <v>2.1319455693427556</v>
      </c>
      <c r="F30" s="12">
        <f t="shared" si="0"/>
        <v>0.5252773442772116</v>
      </c>
      <c r="G30" s="11">
        <f>(B5-(((C30-C26)+SUM(F26:F30))/2.31))</f>
        <v>43.50506036847411</v>
      </c>
      <c r="Q30">
        <f>((100*(D30/150)^1.85185)*(10.4057/(B8^4.87037)))</f>
        <v>1.313193360693029</v>
      </c>
    </row>
    <row r="31" spans="1:17" ht="12.75">
      <c r="A31" s="42">
        <v>220</v>
      </c>
      <c r="B31" s="1" t="s">
        <v>8</v>
      </c>
      <c r="C31" s="42">
        <v>96.8</v>
      </c>
      <c r="D31" s="11">
        <f>(D30-B15)</f>
        <v>8.549999999999999</v>
      </c>
      <c r="E31" s="11">
        <f>((D31/448.8)/B9)</f>
        <v>1.5989591770070666</v>
      </c>
      <c r="F31" s="12">
        <f t="shared" si="0"/>
        <v>0.3083336118211121</v>
      </c>
      <c r="G31" s="11">
        <f>(B5-(((C31-C26)+SUM(F26:F31))/2.31))</f>
        <v>43.847773090629474</v>
      </c>
      <c r="Q31">
        <f>((100*(D31/150)^1.85185)*(10.4057/(B8^4.87037)))</f>
        <v>0.7708340295527801</v>
      </c>
    </row>
    <row r="32" spans="1:17" ht="12.75">
      <c r="A32" s="42">
        <v>260</v>
      </c>
      <c r="B32" s="1" t="s">
        <v>9</v>
      </c>
      <c r="C32" s="42">
        <v>94.9</v>
      </c>
      <c r="D32" s="11">
        <f>(D31-B15)</f>
        <v>5.699999999999999</v>
      </c>
      <c r="E32" s="11">
        <f>((D32/448.8)/B9)</f>
        <v>1.0659727846713778</v>
      </c>
      <c r="F32" s="12">
        <f t="shared" si="0"/>
        <v>0.14552120161999638</v>
      </c>
      <c r="G32" s="11">
        <f>(B5-(((C32-C26)+SUM(F26:F32))/2.31))</f>
        <v>44.607287721962805</v>
      </c>
      <c r="Q32">
        <f>((100*(D32/150)^1.85185)*(10.4057/(B8^4.87037)))</f>
        <v>0.36380300404999094</v>
      </c>
    </row>
    <row r="33" spans="1:17" ht="12.75">
      <c r="A33" s="42">
        <v>300</v>
      </c>
      <c r="B33" s="1" t="s">
        <v>10</v>
      </c>
      <c r="C33" s="42">
        <v>92.8</v>
      </c>
      <c r="D33" s="11">
        <f>(D32-B15)</f>
        <v>2.849999999999999</v>
      </c>
      <c r="E33" s="11">
        <f>((D33/448.8)/B9)</f>
        <v>0.5329863923356888</v>
      </c>
      <c r="F33" s="12">
        <f t="shared" si="0"/>
        <v>0.040314741063250385</v>
      </c>
      <c r="G33" s="11">
        <f>(B5-(((C33-C26)+SUM(F26:F33))/2.31))</f>
        <v>45.49892636219517</v>
      </c>
      <c r="Q33">
        <f>((100*(D33/150)^1.85185)*(10.4057/(B8^4.87037)))</f>
        <v>0.10078685265812595</v>
      </c>
    </row>
    <row r="34" spans="1:17" ht="12.75">
      <c r="A34" s="42">
        <v>0</v>
      </c>
      <c r="B34" s="1" t="s">
        <v>11</v>
      </c>
      <c r="C34" s="42">
        <v>0</v>
      </c>
      <c r="D34" s="11">
        <f>(D33-B15)</f>
        <v>-8.881784197001252E-16</v>
      </c>
      <c r="E34" s="11">
        <f>((D34/448.8)/B9)</f>
        <v>-1.6610070584785375E-16</v>
      </c>
      <c r="F34" s="12" t="e">
        <f t="shared" si="0"/>
        <v>#NUM!</v>
      </c>
      <c r="G34" s="11" t="e">
        <f>(B5-(((C34-C26)+SUM(F26:F34))/2.31))</f>
        <v>#NUM!</v>
      </c>
      <c r="Q34" t="e">
        <f>((100*(D34/150)^1.85185)*(10.4057/(B8^4.87037)))</f>
        <v>#NUM!</v>
      </c>
    </row>
    <row r="35" spans="1:17" ht="12.75">
      <c r="A35" s="42">
        <v>475</v>
      </c>
      <c r="B35" s="1" t="s">
        <v>12</v>
      </c>
      <c r="C35" s="42">
        <v>0</v>
      </c>
      <c r="D35" s="11">
        <f>(D34-B15)</f>
        <v>-2.850000000000001</v>
      </c>
      <c r="E35" s="11">
        <f>((D35/448.8)/B9)</f>
        <v>-0.5329863923356891</v>
      </c>
      <c r="F35" s="12" t="e">
        <f t="shared" si="0"/>
        <v>#NUM!</v>
      </c>
      <c r="G35" s="11" t="e">
        <f>(B5-(((C35-C26)+SUM(F26:F35))/2.31))</f>
        <v>#NUM!</v>
      </c>
      <c r="Q35" t="e">
        <f>((100*(D35/150)^1.85185)*(10.4057/(B8^4.87037)))</f>
        <v>#NUM!</v>
      </c>
    </row>
    <row r="36" spans="1:17" ht="12.75">
      <c r="A36" s="42">
        <v>380</v>
      </c>
      <c r="B36" s="1" t="s">
        <v>13</v>
      </c>
      <c r="C36" s="42">
        <v>0</v>
      </c>
      <c r="D36" s="11">
        <f>(D35-B15)</f>
        <v>-5.700000000000001</v>
      </c>
      <c r="E36" s="11">
        <f>((D36/448.8)/B9)</f>
        <v>-1.065972784671378</v>
      </c>
      <c r="F36" s="12" t="e">
        <f t="shared" si="0"/>
        <v>#NUM!</v>
      </c>
      <c r="G36" s="11" t="e">
        <f>(B5-(((C36-C26)+SUM(F26:F36))/2.31))</f>
        <v>#NUM!</v>
      </c>
      <c r="Q36" t="e">
        <f>((100*(D36/150)^1.85185)*(10.4057/(B8^4.87037)))</f>
        <v>#NUM!</v>
      </c>
    </row>
    <row r="37" spans="1:17" ht="12.75">
      <c r="A37" s="42">
        <v>420</v>
      </c>
      <c r="B37" s="1" t="s">
        <v>14</v>
      </c>
      <c r="C37" s="42">
        <v>0</v>
      </c>
      <c r="D37" s="11">
        <f>(D36-B15)</f>
        <v>-8.55</v>
      </c>
      <c r="E37" s="11">
        <f>((D37/448.8)/B9)</f>
        <v>-1.5989591770070668</v>
      </c>
      <c r="F37" s="12" t="e">
        <f t="shared" si="0"/>
        <v>#NUM!</v>
      </c>
      <c r="G37" s="11" t="e">
        <f>(B5-(((C37-C26)+SUM(F26:F37))/2.31))</f>
        <v>#NUM!</v>
      </c>
      <c r="Q37" t="e">
        <f>((100*(D37/150)^1.85185)*(10.4057/(B8^4.87037)))</f>
        <v>#NUM!</v>
      </c>
    </row>
    <row r="38" spans="1:17" ht="12.75">
      <c r="A38" s="42">
        <v>460</v>
      </c>
      <c r="B38" s="1" t="s">
        <v>15</v>
      </c>
      <c r="C38" s="42">
        <v>0</v>
      </c>
      <c r="D38" s="11">
        <f>(D37-B15)</f>
        <v>-11.4</v>
      </c>
      <c r="E38" s="11">
        <f>((D38/448.8)/B9)</f>
        <v>-2.131945569342756</v>
      </c>
      <c r="F38" s="12" t="e">
        <f t="shared" si="0"/>
        <v>#NUM!</v>
      </c>
      <c r="G38" s="11" t="e">
        <f>(B5-(((C38-C26)+SUM(F26:F38))/2.31))</f>
        <v>#NUM!</v>
      </c>
      <c r="Q38" t="e">
        <f>((100*(D38/150)^1.85185)*(10.4057/(B8^4.87037)))</f>
        <v>#NUM!</v>
      </c>
    </row>
    <row r="39" spans="1:17" ht="12.75">
      <c r="A39" s="42">
        <v>500</v>
      </c>
      <c r="B39" s="1" t="s">
        <v>16</v>
      </c>
      <c r="C39" s="42">
        <v>0</v>
      </c>
      <c r="D39" s="11">
        <f>(D38-B15)</f>
        <v>-14.25</v>
      </c>
      <c r="E39" s="11">
        <f>((D39/448.8)/B9)</f>
        <v>-2.664931961678445</v>
      </c>
      <c r="F39" s="12" t="e">
        <f t="shared" si="0"/>
        <v>#NUM!</v>
      </c>
      <c r="G39" s="11" t="e">
        <f>(B5-(((C39-C26)+SUM(F26:F39))/2.31))</f>
        <v>#NUM!</v>
      </c>
      <c r="Q39" t="e">
        <f>((100*(D39/150)^1.85185)*(10.4057/(B8^4.87037)))</f>
        <v>#NUM!</v>
      </c>
    </row>
    <row r="40" spans="1:17" ht="12.75">
      <c r="A40" s="42">
        <v>540</v>
      </c>
      <c r="B40" s="1" t="s">
        <v>17</v>
      </c>
      <c r="C40" s="42">
        <v>0</v>
      </c>
      <c r="D40" s="11">
        <f>(D39-B15)</f>
        <v>-17.1</v>
      </c>
      <c r="E40" s="11">
        <f>((D40/448.8)/B9)</f>
        <v>-3.1979183540141336</v>
      </c>
      <c r="F40" s="12" t="e">
        <f t="shared" si="0"/>
        <v>#NUM!</v>
      </c>
      <c r="G40" s="11" t="e">
        <f>(B5-(((C40-C26)+SUM(F26:F40))/2.31))</f>
        <v>#NUM!</v>
      </c>
      <c r="Q40" t="e">
        <f>((100*(D40/150)^1.85185)*(10.4057/(B8^4.87037)))</f>
        <v>#NUM!</v>
      </c>
    </row>
    <row r="41" spans="1:17" ht="12.75">
      <c r="A41" s="42">
        <v>580</v>
      </c>
      <c r="B41" s="1" t="s">
        <v>18</v>
      </c>
      <c r="C41" s="42">
        <v>0</v>
      </c>
      <c r="D41" s="11">
        <f>(D40-B15)</f>
        <v>-19.950000000000003</v>
      </c>
      <c r="E41" s="11">
        <f>((D41/448.8)/B9)</f>
        <v>-3.730904746349823</v>
      </c>
      <c r="F41" s="12" t="e">
        <f t="shared" si="0"/>
        <v>#NUM!</v>
      </c>
      <c r="G41" s="11" t="e">
        <f>(B5-(((C41-C26)+SUM(F26:F41))/2.31))</f>
        <v>#NUM!</v>
      </c>
      <c r="Q41" t="e">
        <f>((100*(D41/150)^1.85185)*(10.4057/(B8^4.87037)))</f>
        <v>#NUM!</v>
      </c>
    </row>
    <row r="42" spans="2:7" ht="12.75">
      <c r="B42" s="1"/>
      <c r="C42" s="1"/>
      <c r="D42" s="1"/>
      <c r="E42" s="1"/>
      <c r="F42" s="12"/>
      <c r="G42" s="1"/>
    </row>
    <row r="43" spans="2:7" ht="12.75">
      <c r="B43" s="1"/>
      <c r="C43" s="1"/>
      <c r="D43" s="1"/>
      <c r="E43" s="1"/>
      <c r="F43" s="12" t="e">
        <f>SUM(F27:F42)</f>
        <v>#NUM!</v>
      </c>
      <c r="G43" s="1"/>
    </row>
  </sheetData>
  <sheetProtection password="C7F0" sheet="1" selectLockedCells="1"/>
  <printOptions/>
  <pageMargins left="0.5" right="0.5" top="1" bottom="1" header="0.5" footer="0.5"/>
  <pageSetup fitToHeight="1" fitToWidth="1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125" zoomScaleNormal="125" zoomScalePageLayoutView="0" workbookViewId="0" topLeftCell="A1">
      <selection activeCell="C30" sqref="C30"/>
    </sheetView>
  </sheetViews>
  <sheetFormatPr defaultColWidth="9.140625" defaultRowHeight="12.75"/>
  <cols>
    <col min="1" max="1" width="27.28125" style="0" customWidth="1"/>
    <col min="4" max="4" width="10.7109375" style="0" customWidth="1"/>
    <col min="5" max="5" width="13.7109375" style="0" customWidth="1"/>
    <col min="6" max="6" width="15.7109375" style="0" customWidth="1"/>
    <col min="7" max="7" width="13.00390625" style="0" customWidth="1"/>
  </cols>
  <sheetData>
    <row r="1" ht="15.75">
      <c r="A1" s="3" t="s">
        <v>92</v>
      </c>
    </row>
    <row r="3" spans="1:3" ht="12.75">
      <c r="A3" s="2" t="s">
        <v>93</v>
      </c>
      <c r="B3" s="42" t="s">
        <v>124</v>
      </c>
      <c r="C3" s="22" t="s">
        <v>94</v>
      </c>
    </row>
    <row r="4" ht="12.75">
      <c r="B4" s="1"/>
    </row>
    <row r="5" spans="1:6" ht="12.75">
      <c r="A5" s="2" t="s">
        <v>0</v>
      </c>
      <c r="B5" s="42">
        <v>47</v>
      </c>
      <c r="C5" s="1" t="s">
        <v>34</v>
      </c>
      <c r="F5" s="2" t="s">
        <v>100</v>
      </c>
    </row>
    <row r="6" spans="1:3" ht="12.75">
      <c r="A6" s="2" t="s">
        <v>1</v>
      </c>
      <c r="B6" s="42">
        <v>94.2</v>
      </c>
      <c r="C6" s="1" t="s">
        <v>33</v>
      </c>
    </row>
    <row r="7" spans="1:6" ht="12.75">
      <c r="A7" s="2"/>
      <c r="B7" s="1"/>
      <c r="F7" s="13" t="s">
        <v>40</v>
      </c>
    </row>
    <row r="8" spans="1:6" ht="12.75">
      <c r="A8" s="2" t="s">
        <v>101</v>
      </c>
      <c r="B8" s="42">
        <v>1.478</v>
      </c>
      <c r="C8" s="1" t="s">
        <v>26</v>
      </c>
      <c r="F8" s="13" t="s">
        <v>41</v>
      </c>
    </row>
    <row r="9" spans="1:6" ht="12.75">
      <c r="A9" s="2" t="s">
        <v>102</v>
      </c>
      <c r="B9" s="50">
        <f>((((B8/12)/2))^2*3.14159)</f>
        <v>0.01191450189159722</v>
      </c>
      <c r="C9" s="1" t="s">
        <v>27</v>
      </c>
      <c r="F9" s="13" t="s">
        <v>42</v>
      </c>
    </row>
    <row r="10" spans="1:6" ht="12.75">
      <c r="A10" s="2" t="s">
        <v>103</v>
      </c>
      <c r="B10" s="51">
        <v>8.55</v>
      </c>
      <c r="C10" s="1" t="s">
        <v>23</v>
      </c>
      <c r="D10" s="5">
        <f>(B10/448.8)</f>
        <v>0.019050802139037433</v>
      </c>
      <c r="E10" t="s">
        <v>36</v>
      </c>
      <c r="F10" s="13" t="s">
        <v>43</v>
      </c>
    </row>
    <row r="11" spans="1:5" ht="12.75">
      <c r="A11" s="2" t="s">
        <v>39</v>
      </c>
      <c r="B11" s="51">
        <v>17.1</v>
      </c>
      <c r="C11" s="1" t="s">
        <v>23</v>
      </c>
      <c r="D11" s="5">
        <f>(B11/448.8)</f>
        <v>0.038101604278074866</v>
      </c>
      <c r="E11" t="s">
        <v>36</v>
      </c>
    </row>
    <row r="12" spans="1:4" ht="12.75">
      <c r="A12" s="2" t="s">
        <v>37</v>
      </c>
      <c r="B12" s="42">
        <v>2.4</v>
      </c>
      <c r="C12" s="1" t="s">
        <v>26</v>
      </c>
      <c r="D12" s="5"/>
    </row>
    <row r="13" spans="1:4" ht="12.75">
      <c r="A13" s="2" t="s">
        <v>38</v>
      </c>
      <c r="B13" s="50">
        <f>((((B12/12)/2))^2*3.14159)</f>
        <v>0.0314159</v>
      </c>
      <c r="C13" s="1" t="s">
        <v>27</v>
      </c>
      <c r="D13" s="5"/>
    </row>
    <row r="14" spans="1:4" ht="12.75">
      <c r="A14" s="2"/>
      <c r="B14" s="10"/>
      <c r="C14" s="1"/>
      <c r="D14" s="5"/>
    </row>
    <row r="15" spans="1:3" ht="12.75">
      <c r="A15" s="2" t="s">
        <v>28</v>
      </c>
      <c r="B15" s="42">
        <v>2.85</v>
      </c>
      <c r="C15" s="1" t="s">
        <v>35</v>
      </c>
    </row>
    <row r="17" ht="12.75">
      <c r="A17" s="6" t="s">
        <v>29</v>
      </c>
    </row>
    <row r="18" ht="12.75">
      <c r="A18" s="6" t="s">
        <v>30</v>
      </c>
    </row>
    <row r="19" ht="12.75">
      <c r="A19" s="6"/>
    </row>
    <row r="20" ht="12.75">
      <c r="A20" s="6" t="s">
        <v>44</v>
      </c>
    </row>
    <row r="21" ht="12.75">
      <c r="A21" s="6" t="s">
        <v>45</v>
      </c>
    </row>
    <row r="23" spans="2:7" ht="12.75">
      <c r="B23" s="1"/>
      <c r="C23" s="1"/>
      <c r="D23" s="1"/>
      <c r="E23" s="1"/>
      <c r="F23" s="8" t="s">
        <v>25</v>
      </c>
      <c r="G23" s="1"/>
    </row>
    <row r="24" spans="1:17" ht="12.75">
      <c r="A24" s="4" t="s">
        <v>2</v>
      </c>
      <c r="B24" s="9" t="s">
        <v>19</v>
      </c>
      <c r="C24" s="9" t="s">
        <v>20</v>
      </c>
      <c r="D24" s="9" t="s">
        <v>21</v>
      </c>
      <c r="E24" s="9" t="s">
        <v>22</v>
      </c>
      <c r="F24" s="9" t="s">
        <v>32</v>
      </c>
      <c r="G24" s="9" t="s">
        <v>31</v>
      </c>
      <c r="Q24" t="s">
        <v>24</v>
      </c>
    </row>
    <row r="25" spans="2:16" ht="12.75">
      <c r="B25" s="1"/>
      <c r="C25" s="1"/>
      <c r="D25" s="1"/>
      <c r="E25" s="1"/>
      <c r="F25" s="1"/>
      <c r="G25" s="1"/>
      <c r="O25" s="24" t="s">
        <v>90</v>
      </c>
      <c r="P25" s="22" t="s">
        <v>91</v>
      </c>
    </row>
    <row r="26" spans="1:17" ht="12.75">
      <c r="A26" s="42">
        <v>0</v>
      </c>
      <c r="B26" s="1" t="s">
        <v>3</v>
      </c>
      <c r="C26" s="10">
        <f>(B6)</f>
        <v>94.2</v>
      </c>
      <c r="D26" s="11">
        <f>(B11)</f>
        <v>17.1</v>
      </c>
      <c r="E26" s="11">
        <f>((D26/448.8)/B13)</f>
        <v>1.212812756536495</v>
      </c>
      <c r="F26" s="1"/>
      <c r="G26" s="11"/>
      <c r="Q26">
        <f>((100*(D26/150)^1.85185)*(10.4057/(B8^4.87037)))</f>
        <v>2.7824237802771687</v>
      </c>
    </row>
    <row r="27" spans="1:17" ht="12.75">
      <c r="A27" s="42">
        <v>60</v>
      </c>
      <c r="B27" s="1" t="s">
        <v>4</v>
      </c>
      <c r="C27" s="42">
        <v>93</v>
      </c>
      <c r="D27" s="11">
        <f>(B10)</f>
        <v>8.55</v>
      </c>
      <c r="E27" s="11">
        <f>((D27/448.8)/B9)</f>
        <v>1.5989591770070668</v>
      </c>
      <c r="F27" s="12">
        <f>((A27-A26)*(Q27/100))</f>
        <v>0.46250041773166806</v>
      </c>
      <c r="G27" s="11">
        <f>(B5-(((C27-C26)+SUM(F26:F27))/2.31))</f>
        <v>47.31926388842785</v>
      </c>
      <c r="Q27">
        <f>((100*(D27/150)^1.85185)*(10.4057/(B8^4.87037)))</f>
        <v>0.7708340295527801</v>
      </c>
    </row>
    <row r="28" spans="1:17" ht="12.75">
      <c r="A28" s="42">
        <v>100</v>
      </c>
      <c r="B28" s="1" t="s">
        <v>5</v>
      </c>
      <c r="C28" s="42">
        <v>92.1</v>
      </c>
      <c r="D28" s="11">
        <f>(D27-B15)</f>
        <v>5.700000000000001</v>
      </c>
      <c r="E28" s="11">
        <f>((D28/448.8)/B9)</f>
        <v>1.065972784671378</v>
      </c>
      <c r="F28" s="12">
        <f>((A28-A27)*(Q28/100))</f>
        <v>0.1455212016199965</v>
      </c>
      <c r="G28" s="11">
        <f>(B5-(((C28-C26)+SUM(F27:F28))/2.31))</f>
        <v>47.645878086860755</v>
      </c>
      <c r="Q28">
        <f>((100*(D28/150)^1.85185)*(10.4057/(B8^4.87037)))</f>
        <v>0.3638030040499912</v>
      </c>
    </row>
    <row r="29" spans="1:17" ht="12.75">
      <c r="A29" s="42">
        <v>140</v>
      </c>
      <c r="B29" s="1" t="s">
        <v>6</v>
      </c>
      <c r="C29" s="42">
        <v>91.5</v>
      </c>
      <c r="D29" s="11">
        <f>(D28-B15)</f>
        <v>2.850000000000001</v>
      </c>
      <c r="E29" s="11">
        <f>((D29/448.8)/B9)</f>
        <v>0.5329863923356891</v>
      </c>
      <c r="F29" s="12">
        <f aca="true" t="shared" si="0" ref="F29:F41">((A29-A28)*(Q29/100))</f>
        <v>0.04031474106325046</v>
      </c>
      <c r="G29" s="11">
        <f>(B5-(((C29-C26)+SUM(F27:F29))/2.31))</f>
        <v>47.88816607774246</v>
      </c>
      <c r="Q29">
        <f>((100*(D29/150)^1.85185)*(10.4057/(B8^4.87037)))</f>
        <v>0.10078685265812615</v>
      </c>
    </row>
    <row r="30" spans="1:17" ht="12.75">
      <c r="A30" s="42">
        <v>0</v>
      </c>
      <c r="B30" s="1" t="s">
        <v>7</v>
      </c>
      <c r="C30" s="42">
        <v>0</v>
      </c>
      <c r="D30" s="11">
        <f>(D29-B15)</f>
        <v>8.881784197001252E-16</v>
      </c>
      <c r="E30" s="11">
        <f>((D30/448.8)/B9)</f>
        <v>1.6610070584785375E-16</v>
      </c>
      <c r="F30" s="12">
        <f t="shared" si="0"/>
        <v>-2.7171123193321925E-30</v>
      </c>
      <c r="G30" s="11">
        <f>(B5-(((C30-C26)+SUM(F26:F30))/2.31))</f>
        <v>87.49855568813207</v>
      </c>
      <c r="Q30">
        <f>((100*(D30/150)^1.85185)*(10.4057/(B8^4.87037)))</f>
        <v>1.940794513808709E-30</v>
      </c>
    </row>
    <row r="31" spans="1:17" ht="12.75">
      <c r="A31" s="42">
        <v>0</v>
      </c>
      <c r="B31" s="1" t="s">
        <v>8</v>
      </c>
      <c r="C31" s="42">
        <v>0</v>
      </c>
      <c r="D31" s="11">
        <f>(D30-B15)</f>
        <v>-2.849999999999999</v>
      </c>
      <c r="E31" s="11">
        <f>((D31/448.8)/B9)</f>
        <v>-0.5329863923356888</v>
      </c>
      <c r="F31" s="12" t="e">
        <f t="shared" si="0"/>
        <v>#NUM!</v>
      </c>
      <c r="G31" s="11" t="e">
        <f>(B5-(((C31-C26)+SUM(F26:F31))/2.31))</f>
        <v>#NUM!</v>
      </c>
      <c r="Q31" t="e">
        <f>((100*(D31/150)^1.85185)*(10.4057/(B8^4.87037)))</f>
        <v>#NUM!</v>
      </c>
    </row>
    <row r="32" spans="1:17" ht="12.75">
      <c r="A32" s="42">
        <v>0</v>
      </c>
      <c r="B32" s="1" t="s">
        <v>9</v>
      </c>
      <c r="C32" s="42">
        <v>0</v>
      </c>
      <c r="D32" s="11">
        <f>(D31-B15)</f>
        <v>-5.699999999999999</v>
      </c>
      <c r="E32" s="11">
        <f>((D32/448.8)/B9)</f>
        <v>-1.0659727846713778</v>
      </c>
      <c r="F32" s="12" t="e">
        <f t="shared" si="0"/>
        <v>#NUM!</v>
      </c>
      <c r="G32" s="11" t="e">
        <f>(B5-(((C32-C26)+SUM(F26:F32))/2.31))</f>
        <v>#NUM!</v>
      </c>
      <c r="Q32" t="e">
        <f>((100*(D32/150)^1.85185)*(10.4057/(B8^4.87037)))</f>
        <v>#NUM!</v>
      </c>
    </row>
    <row r="33" spans="1:17" ht="12.75">
      <c r="A33" s="42">
        <v>0</v>
      </c>
      <c r="B33" s="1" t="s">
        <v>10</v>
      </c>
      <c r="C33" s="42">
        <v>0</v>
      </c>
      <c r="D33" s="11">
        <f>(D32-B15)</f>
        <v>-8.549999999999999</v>
      </c>
      <c r="E33" s="11">
        <f>((D33/448.8)/B9)</f>
        <v>-1.5989591770070666</v>
      </c>
      <c r="F33" s="12" t="e">
        <f t="shared" si="0"/>
        <v>#NUM!</v>
      </c>
      <c r="G33" s="11" t="e">
        <f>(B5-(((C33-C26)+SUM(F26:F33))/2.31))</f>
        <v>#NUM!</v>
      </c>
      <c r="Q33" t="e">
        <f>((100*(D33/150)^1.85185)*(10.4057/(B8^4.87037)))</f>
        <v>#NUM!</v>
      </c>
    </row>
    <row r="34" spans="1:17" ht="12.75">
      <c r="A34" s="42">
        <v>0</v>
      </c>
      <c r="B34" s="1" t="s">
        <v>11</v>
      </c>
      <c r="C34" s="42">
        <v>0</v>
      </c>
      <c r="D34" s="11">
        <f>(D33-B15)</f>
        <v>-11.399999999999999</v>
      </c>
      <c r="E34" s="11">
        <f>((D34/448.8)/B9)</f>
        <v>-2.1319455693427556</v>
      </c>
      <c r="F34" s="12" t="e">
        <f t="shared" si="0"/>
        <v>#NUM!</v>
      </c>
      <c r="G34" s="11" t="e">
        <f>(B5-(((C34-C26)+SUM(F26:F34))/2.31))</f>
        <v>#NUM!</v>
      </c>
      <c r="Q34" t="e">
        <f>((100*(D34/150)^1.85185)*(10.4057/(B8^4.87037)))</f>
        <v>#NUM!</v>
      </c>
    </row>
    <row r="35" spans="1:17" ht="12.75">
      <c r="A35" s="42">
        <v>475</v>
      </c>
      <c r="B35" s="1" t="s">
        <v>12</v>
      </c>
      <c r="C35" s="42">
        <v>0</v>
      </c>
      <c r="D35" s="11">
        <f>(D34-B15)</f>
        <v>-14.249999999999998</v>
      </c>
      <c r="E35" s="11">
        <f>((D35/448.8)/B9)</f>
        <v>-2.664931961678444</v>
      </c>
      <c r="F35" s="12" t="e">
        <f t="shared" si="0"/>
        <v>#NUM!</v>
      </c>
      <c r="G35" s="11" t="e">
        <f>(B5-(((C35-C26)+SUM(F26:F35))/2.31))</f>
        <v>#NUM!</v>
      </c>
      <c r="Q35" t="e">
        <f>((100*(D35/150)^1.85185)*(10.4057/(B8^4.87037)))</f>
        <v>#NUM!</v>
      </c>
    </row>
    <row r="36" spans="1:17" ht="12.75">
      <c r="A36" s="42">
        <v>380</v>
      </c>
      <c r="B36" s="1" t="s">
        <v>13</v>
      </c>
      <c r="C36" s="42">
        <v>0</v>
      </c>
      <c r="D36" s="11">
        <f>(D35-B15)</f>
        <v>-17.099999999999998</v>
      </c>
      <c r="E36" s="11">
        <f>((D36/448.8)/B9)</f>
        <v>-3.197918354014133</v>
      </c>
      <c r="F36" s="12" t="e">
        <f t="shared" si="0"/>
        <v>#NUM!</v>
      </c>
      <c r="G36" s="11" t="e">
        <f>(B5-(((C36-C26)+SUM(F26:F36))/2.31))</f>
        <v>#NUM!</v>
      </c>
      <c r="Q36" t="e">
        <f>((100*(D36/150)^1.85185)*(10.4057/(B8^4.87037)))</f>
        <v>#NUM!</v>
      </c>
    </row>
    <row r="37" spans="1:17" ht="12.75">
      <c r="A37" s="42">
        <v>420</v>
      </c>
      <c r="B37" s="1" t="s">
        <v>14</v>
      </c>
      <c r="C37" s="42">
        <v>0</v>
      </c>
      <c r="D37" s="11">
        <f>(D36-B15)</f>
        <v>-19.95</v>
      </c>
      <c r="E37" s="11">
        <f>((D37/448.8)/B9)</f>
        <v>-3.7309047463498226</v>
      </c>
      <c r="F37" s="12" t="e">
        <f t="shared" si="0"/>
        <v>#NUM!</v>
      </c>
      <c r="G37" s="11" t="e">
        <f>(B5-(((C37-C26)+SUM(F26:F37))/2.31))</f>
        <v>#NUM!</v>
      </c>
      <c r="Q37" t="e">
        <f>((100*(D37/150)^1.85185)*(10.4057/(B8^4.87037)))</f>
        <v>#NUM!</v>
      </c>
    </row>
    <row r="38" spans="1:17" ht="12.75">
      <c r="A38" s="42">
        <v>460</v>
      </c>
      <c r="B38" s="1" t="s">
        <v>15</v>
      </c>
      <c r="C38" s="42">
        <v>0</v>
      </c>
      <c r="D38" s="11">
        <f>(D37-B15)</f>
        <v>-22.8</v>
      </c>
      <c r="E38" s="11">
        <f>((D38/448.8)/B9)</f>
        <v>-4.263891138685512</v>
      </c>
      <c r="F38" s="12" t="e">
        <f t="shared" si="0"/>
        <v>#NUM!</v>
      </c>
      <c r="G38" s="11" t="e">
        <f>(B5-(((C38-C26)+SUM(F26:F38))/2.31))</f>
        <v>#NUM!</v>
      </c>
      <c r="Q38" t="e">
        <f>((100*(D38/150)^1.85185)*(10.4057/(B8^4.87037)))</f>
        <v>#NUM!</v>
      </c>
    </row>
    <row r="39" spans="1:17" ht="12.75">
      <c r="A39" s="42">
        <v>500</v>
      </c>
      <c r="B39" s="1" t="s">
        <v>16</v>
      </c>
      <c r="C39" s="42">
        <v>0</v>
      </c>
      <c r="D39" s="11">
        <f>(D38-B15)</f>
        <v>-25.650000000000002</v>
      </c>
      <c r="E39" s="11">
        <f>((D39/448.8)/B9)</f>
        <v>-4.7968775310212015</v>
      </c>
      <c r="F39" s="12" t="e">
        <f t="shared" si="0"/>
        <v>#NUM!</v>
      </c>
      <c r="G39" s="11" t="e">
        <f>(B5-(((C39-C26)+SUM(F26:F39))/2.31))</f>
        <v>#NUM!</v>
      </c>
      <c r="Q39" t="e">
        <f>((100*(D39/150)^1.85185)*(10.4057/(B8^4.87037)))</f>
        <v>#NUM!</v>
      </c>
    </row>
    <row r="40" spans="1:17" ht="12.75">
      <c r="A40" s="42">
        <v>540</v>
      </c>
      <c r="B40" s="1" t="s">
        <v>17</v>
      </c>
      <c r="C40" s="42">
        <v>0</v>
      </c>
      <c r="D40" s="11">
        <f>(D39-B15)</f>
        <v>-28.500000000000004</v>
      </c>
      <c r="E40" s="11">
        <f>((D40/448.8)/B9)</f>
        <v>-5.32986392335689</v>
      </c>
      <c r="F40" s="12" t="e">
        <f t="shared" si="0"/>
        <v>#NUM!</v>
      </c>
      <c r="G40" s="11" t="e">
        <f>(B5-(((C40-C26)+SUM(F26:F40))/2.31))</f>
        <v>#NUM!</v>
      </c>
      <c r="Q40" t="e">
        <f>((100*(D40/150)^1.85185)*(10.4057/(B8^4.87037)))</f>
        <v>#NUM!</v>
      </c>
    </row>
    <row r="41" spans="1:17" ht="12.75">
      <c r="A41" s="42">
        <v>580</v>
      </c>
      <c r="B41" s="1" t="s">
        <v>18</v>
      </c>
      <c r="C41" s="42">
        <v>0</v>
      </c>
      <c r="D41" s="11">
        <f>(D40-B15)</f>
        <v>-31.350000000000005</v>
      </c>
      <c r="E41" s="11">
        <f>((D41/448.8)/B9)</f>
        <v>-5.8628503156925795</v>
      </c>
      <c r="F41" s="12" t="e">
        <f t="shared" si="0"/>
        <v>#NUM!</v>
      </c>
      <c r="G41" s="11" t="e">
        <f>(B5-(((C41-C26)+SUM(F26:F41))/2.31))</f>
        <v>#NUM!</v>
      </c>
      <c r="Q41" t="e">
        <f>((100*(D41/150)^1.85185)*(10.4057/(B8^4.87037)))</f>
        <v>#NUM!</v>
      </c>
    </row>
    <row r="42" spans="2:7" ht="12.75">
      <c r="B42" s="1"/>
      <c r="C42" s="1"/>
      <c r="D42" s="1"/>
      <c r="E42" s="1"/>
      <c r="F42" s="12"/>
      <c r="G42" s="1"/>
    </row>
    <row r="43" spans="2:7" ht="12.75">
      <c r="B43" s="1"/>
      <c r="C43" s="1"/>
      <c r="D43" s="1"/>
      <c r="E43" s="1"/>
      <c r="F43" s="12" t="e">
        <f>SUM(F27:F42)</f>
        <v>#NUM!</v>
      </c>
      <c r="G43" s="1"/>
    </row>
  </sheetData>
  <sheetProtection password="C7F0" sheet="1" selectLockedCells="1"/>
  <printOptions/>
  <pageMargins left="0.5" right="0.5" top="1" bottom="1" header="0.5" footer="0.5"/>
  <pageSetup fitToHeight="1" fitToWidth="1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="125" zoomScaleNormal="125" zoomScalePageLayoutView="0" workbookViewId="0" topLeftCell="A1">
      <selection activeCell="B5" sqref="B5"/>
    </sheetView>
  </sheetViews>
  <sheetFormatPr defaultColWidth="9.140625" defaultRowHeight="12.75"/>
  <cols>
    <col min="1" max="1" width="27.28125" style="0" customWidth="1"/>
    <col min="4" max="4" width="10.7109375" style="0" customWidth="1"/>
    <col min="5" max="5" width="13.7109375" style="0" customWidth="1"/>
    <col min="6" max="6" width="15.7109375" style="0" customWidth="1"/>
    <col min="7" max="7" width="13.00390625" style="0" customWidth="1"/>
  </cols>
  <sheetData>
    <row r="1" ht="15.75">
      <c r="A1" s="3" t="s">
        <v>92</v>
      </c>
    </row>
    <row r="3" spans="1:3" ht="12.75">
      <c r="A3" s="2" t="s">
        <v>93</v>
      </c>
      <c r="B3" s="42" t="s">
        <v>105</v>
      </c>
      <c r="C3" s="22" t="s">
        <v>94</v>
      </c>
    </row>
    <row r="4" ht="12.75">
      <c r="B4" s="1"/>
    </row>
    <row r="5" spans="1:6" ht="12.75">
      <c r="A5" s="2" t="s">
        <v>0</v>
      </c>
      <c r="B5" s="42">
        <v>39.3</v>
      </c>
      <c r="C5" s="1" t="s">
        <v>34</v>
      </c>
      <c r="F5" s="2" t="s">
        <v>100</v>
      </c>
    </row>
    <row r="6" spans="1:3" ht="12.75">
      <c r="A6" s="2" t="s">
        <v>1</v>
      </c>
      <c r="B6" s="42">
        <v>1494.5</v>
      </c>
      <c r="C6" s="1" t="s">
        <v>33</v>
      </c>
    </row>
    <row r="7" spans="1:6" ht="12.75">
      <c r="A7" s="2"/>
      <c r="B7" s="1"/>
      <c r="F7" s="13" t="s">
        <v>40</v>
      </c>
    </row>
    <row r="8" spans="1:6" ht="12.75">
      <c r="A8" s="2" t="s">
        <v>101</v>
      </c>
      <c r="B8" s="42">
        <v>1.724</v>
      </c>
      <c r="C8" s="1" t="s">
        <v>26</v>
      </c>
      <c r="F8" s="13" t="s">
        <v>41</v>
      </c>
    </row>
    <row r="9" spans="1:6" ht="12.75">
      <c r="A9" s="2" t="s">
        <v>102</v>
      </c>
      <c r="B9" s="50">
        <f>((((B8/12)/2))^2*3.14159)</f>
        <v>0.016210691666388888</v>
      </c>
      <c r="C9" s="1" t="s">
        <v>27</v>
      </c>
      <c r="F9" s="13" t="s">
        <v>42</v>
      </c>
    </row>
    <row r="10" spans="1:6" ht="12.75">
      <c r="A10" s="2" t="s">
        <v>103</v>
      </c>
      <c r="B10" s="51">
        <v>36</v>
      </c>
      <c r="C10" s="1" t="s">
        <v>23</v>
      </c>
      <c r="D10" s="5">
        <f>(B10/448.8)</f>
        <v>0.08021390374331551</v>
      </c>
      <c r="E10" t="s">
        <v>36</v>
      </c>
      <c r="F10" s="13" t="s">
        <v>43</v>
      </c>
    </row>
    <row r="11" spans="1:5" ht="12.75">
      <c r="A11" s="2" t="s">
        <v>39</v>
      </c>
      <c r="B11" s="51">
        <v>72</v>
      </c>
      <c r="C11" s="1" t="s">
        <v>23</v>
      </c>
      <c r="D11" s="5">
        <f>(B11/448.8)</f>
        <v>0.16042780748663102</v>
      </c>
      <c r="E11" t="s">
        <v>36</v>
      </c>
    </row>
    <row r="12" spans="1:4" ht="12.75">
      <c r="A12" s="2" t="s">
        <v>37</v>
      </c>
      <c r="B12" s="42">
        <v>2.4</v>
      </c>
      <c r="C12" s="1" t="s">
        <v>26</v>
      </c>
      <c r="D12" s="5"/>
    </row>
    <row r="13" spans="1:4" ht="12.75">
      <c r="A13" s="2" t="s">
        <v>38</v>
      </c>
      <c r="B13" s="50">
        <f>((((B12/12)/2))^2*3.14159)</f>
        <v>0.0314159</v>
      </c>
      <c r="C13" s="1" t="s">
        <v>27</v>
      </c>
      <c r="D13" s="5"/>
    </row>
    <row r="14" spans="1:4" ht="12.75">
      <c r="A14" s="2"/>
      <c r="B14" s="10"/>
      <c r="C14" s="1"/>
      <c r="D14" s="5"/>
    </row>
    <row r="15" spans="1:3" ht="12.75">
      <c r="A15" s="2" t="s">
        <v>28</v>
      </c>
      <c r="B15" s="42">
        <v>4.5</v>
      </c>
      <c r="C15" s="1" t="s">
        <v>35</v>
      </c>
    </row>
    <row r="17" ht="12.75">
      <c r="A17" s="6" t="s">
        <v>29</v>
      </c>
    </row>
    <row r="18" ht="12.75">
      <c r="A18" s="6" t="s">
        <v>30</v>
      </c>
    </row>
    <row r="19" ht="12.75">
      <c r="A19" s="6"/>
    </row>
    <row r="20" ht="12.75">
      <c r="A20" s="6" t="s">
        <v>44</v>
      </c>
    </row>
    <row r="21" ht="12.75">
      <c r="A21" s="6" t="s">
        <v>45</v>
      </c>
    </row>
    <row r="23" spans="2:7" ht="12.75">
      <c r="B23" s="1"/>
      <c r="C23" s="1"/>
      <c r="D23" s="1"/>
      <c r="E23" s="1"/>
      <c r="F23" s="8" t="s">
        <v>25</v>
      </c>
      <c r="G23" s="1"/>
    </row>
    <row r="24" spans="1:17" ht="12.75">
      <c r="A24" s="4" t="s">
        <v>2</v>
      </c>
      <c r="B24" s="9" t="s">
        <v>19</v>
      </c>
      <c r="C24" s="9" t="s">
        <v>20</v>
      </c>
      <c r="D24" s="9" t="s">
        <v>21</v>
      </c>
      <c r="E24" s="9" t="s">
        <v>22</v>
      </c>
      <c r="F24" s="9" t="s">
        <v>32</v>
      </c>
      <c r="G24" s="9" t="s">
        <v>31</v>
      </c>
      <c r="Q24" t="s">
        <v>24</v>
      </c>
    </row>
    <row r="25" spans="2:16" ht="12.75">
      <c r="B25" s="1"/>
      <c r="C25" s="1"/>
      <c r="D25" s="1"/>
      <c r="E25" s="1"/>
      <c r="F25" s="1"/>
      <c r="G25" s="1"/>
      <c r="O25" s="24" t="s">
        <v>90</v>
      </c>
      <c r="P25" s="22" t="s">
        <v>91</v>
      </c>
    </row>
    <row r="26" spans="1:17" ht="12.75">
      <c r="A26" s="42">
        <v>0</v>
      </c>
      <c r="B26" s="1" t="s">
        <v>3</v>
      </c>
      <c r="C26" s="10">
        <f>(B6)</f>
        <v>1494.5</v>
      </c>
      <c r="D26" s="11">
        <f>(B11)</f>
        <v>72</v>
      </c>
      <c r="E26" s="11">
        <f>((D26/448.8)/B13)</f>
        <v>5.106580027522084</v>
      </c>
      <c r="F26" s="1"/>
      <c r="G26" s="11"/>
      <c r="Q26">
        <f>((100*(D26/150)^1.85185)*(10.4057/(B8^4.87037)))</f>
        <v>18.83449169980293</v>
      </c>
    </row>
    <row r="27" spans="1:17" ht="12.75">
      <c r="A27" s="42">
        <v>75</v>
      </c>
      <c r="B27" s="1" t="s">
        <v>4</v>
      </c>
      <c r="C27" s="42">
        <v>1492.7</v>
      </c>
      <c r="D27" s="11">
        <f>(B10)</f>
        <v>36</v>
      </c>
      <c r="E27" s="11">
        <f>((D27/448.8)/B9)</f>
        <v>4.948209823127433</v>
      </c>
      <c r="F27" s="12">
        <f>((A27-A26)*(Q27/100))</f>
        <v>3.913386747854939</v>
      </c>
      <c r="G27" s="11">
        <f>(B5-(((C27-C26)+SUM(F26:F27))/2.31))</f>
        <v>38.385113961967534</v>
      </c>
      <c r="Q27">
        <f>((100*(D27/150)^1.85185)*(10.4057/(B8^4.87037)))</f>
        <v>5.217848997139918</v>
      </c>
    </row>
    <row r="28" spans="1:17" ht="12.75">
      <c r="A28" s="42">
        <v>125</v>
      </c>
      <c r="B28" s="1" t="s">
        <v>5</v>
      </c>
      <c r="C28" s="42">
        <v>1490.1</v>
      </c>
      <c r="D28" s="11">
        <f>(D27-B15)</f>
        <v>31.5</v>
      </c>
      <c r="E28" s="11">
        <f>((D28/448.8)/B9)</f>
        <v>4.329683595236504</v>
      </c>
      <c r="F28" s="12">
        <f>((A28-A27)*(Q28/100))</f>
        <v>2.037366326725286</v>
      </c>
      <c r="G28" s="11">
        <f>(B5-(((C28-C26)+SUM(F27:F28))/2.31))</f>
        <v>38.62867832269258</v>
      </c>
      <c r="Q28">
        <f>((100*(D28/150)^1.85185)*(10.4057/(B8^4.87037)))</f>
        <v>4.074732653450572</v>
      </c>
    </row>
    <row r="29" spans="1:17" ht="12.75">
      <c r="A29" s="42">
        <v>175</v>
      </c>
      <c r="B29" s="1" t="s">
        <v>6</v>
      </c>
      <c r="C29" s="42">
        <v>1486.3</v>
      </c>
      <c r="D29" s="11">
        <f>(D28-B15)</f>
        <v>27</v>
      </c>
      <c r="E29" s="11">
        <f>((D29/448.8)/B9)</f>
        <v>3.7111573673455744</v>
      </c>
      <c r="F29" s="12">
        <f aca="true" t="shared" si="0" ref="F29:F41">((A29-A28)*(Q29/100))</f>
        <v>1.531417873579813</v>
      </c>
      <c r="G29" s="11">
        <f>(B5-(((C29-C26)+SUM(F27:F29))/2.31))</f>
        <v>39.61074850729004</v>
      </c>
      <c r="Q29">
        <f>((100*(D29/150)^1.85185)*(10.4057/(B8^4.87037)))</f>
        <v>3.062835747159626</v>
      </c>
    </row>
    <row r="30" spans="1:17" ht="12.75">
      <c r="A30" s="42">
        <v>225</v>
      </c>
      <c r="B30" s="1" t="s">
        <v>7</v>
      </c>
      <c r="C30" s="42">
        <v>1482.8</v>
      </c>
      <c r="D30" s="11">
        <f>(D29-B15)</f>
        <v>22.5</v>
      </c>
      <c r="E30" s="11">
        <f>((D30/448.8)/B9)</f>
        <v>3.0926311394546455</v>
      </c>
      <c r="F30" s="12">
        <f t="shared" si="0"/>
        <v>1.0926018236590986</v>
      </c>
      <c r="G30" s="11">
        <f>(B5-(((C30-C26)+SUM(F26:F30))/2.31))</f>
        <v>40.652912219991734</v>
      </c>
      <c r="Q30">
        <f>((100*(D30/150)^1.85185)*(10.4057/(B8^4.87037)))</f>
        <v>2.1852036473181973</v>
      </c>
    </row>
    <row r="31" spans="1:17" ht="12.75">
      <c r="A31" s="42">
        <v>275</v>
      </c>
      <c r="B31" s="1" t="s">
        <v>8</v>
      </c>
      <c r="C31" s="42">
        <v>1480.5</v>
      </c>
      <c r="D31" s="11">
        <f>(D30-B15)</f>
        <v>18</v>
      </c>
      <c r="E31" s="11">
        <f>((D31/448.8)/B9)</f>
        <v>2.4741049115637166</v>
      </c>
      <c r="F31" s="12">
        <f t="shared" si="0"/>
        <v>0.7227683282060361</v>
      </c>
      <c r="G31" s="11">
        <f>(B5-(((C31-C26)+SUM(F26:F31))/2.31))</f>
        <v>41.33569649349559</v>
      </c>
      <c r="Q31">
        <f>((100*(D31/150)^1.85185)*(10.4057/(B8^4.87037)))</f>
        <v>1.4455366564120722</v>
      </c>
    </row>
    <row r="32" spans="1:17" ht="12.75">
      <c r="A32" s="42">
        <v>325</v>
      </c>
      <c r="B32" s="1" t="s">
        <v>9</v>
      </c>
      <c r="C32" s="42">
        <v>1480</v>
      </c>
      <c r="D32" s="11">
        <f>(D31-B15)</f>
        <v>13.5</v>
      </c>
      <c r="E32" s="11">
        <f>((D32/448.8)/B9)</f>
        <v>1.8555786836727872</v>
      </c>
      <c r="F32" s="12">
        <f t="shared" si="0"/>
        <v>0.42425924432800993</v>
      </c>
      <c r="G32" s="11">
        <f>(B5-(((C32-C26)+SUM(F26:F32))/2.31))</f>
        <v>41.3684846994142</v>
      </c>
      <c r="Q32">
        <f>((100*(D32/150)^1.85185)*(10.4057/(B8^4.87037)))</f>
        <v>0.8485184886560198</v>
      </c>
    </row>
    <row r="33" spans="1:17" ht="12.75">
      <c r="A33" s="42">
        <v>375</v>
      </c>
      <c r="B33" s="1" t="s">
        <v>10</v>
      </c>
      <c r="C33" s="42">
        <v>1481.1</v>
      </c>
      <c r="D33" s="11">
        <f>(D32-B15)</f>
        <v>9</v>
      </c>
      <c r="E33" s="11">
        <f>((D33/448.8)/B9)</f>
        <v>1.2370524557818583</v>
      </c>
      <c r="F33" s="12">
        <f t="shared" si="0"/>
        <v>0.20023348952569936</v>
      </c>
      <c r="G33" s="11">
        <f>(B5-(((C33-C26)+SUM(F26:F33))/2.31))</f>
        <v>40.80561305892693</v>
      </c>
      <c r="Q33">
        <f>((100*(D33/150)^1.85185)*(10.4057/(B8^4.87037)))</f>
        <v>0.4004669790513987</v>
      </c>
    </row>
    <row r="34" spans="1:17" ht="12.75">
      <c r="A34" s="42">
        <v>425</v>
      </c>
      <c r="B34" s="1" t="s">
        <v>11</v>
      </c>
      <c r="C34" s="42">
        <v>1482.8</v>
      </c>
      <c r="D34" s="11">
        <f>(D33-B15)</f>
        <v>4.5</v>
      </c>
      <c r="E34" s="11">
        <f>((D34/448.8)/B9)</f>
        <v>0.6185262278909291</v>
      </c>
      <c r="F34" s="12">
        <f t="shared" si="0"/>
        <v>0.05547206312588879</v>
      </c>
      <c r="G34" s="11">
        <f>(B5-(((C34-C26)+SUM(F26:F34))/2.31))</f>
        <v>40.045668442855096</v>
      </c>
      <c r="Q34">
        <f>((100*(D34/150)^1.85185)*(10.4057/(B8^4.87037)))</f>
        <v>0.11094412625177758</v>
      </c>
    </row>
    <row r="35" spans="1:17" ht="12.75">
      <c r="A35" s="42">
        <v>475</v>
      </c>
      <c r="B35" s="1" t="s">
        <v>12</v>
      </c>
      <c r="C35" s="42">
        <v>100</v>
      </c>
      <c r="D35" s="11">
        <f>(D34-B15)</f>
        <v>0</v>
      </c>
      <c r="E35" s="11">
        <f>((D35/448.8)/B9)</f>
        <v>0</v>
      </c>
      <c r="F35" s="12">
        <f t="shared" si="0"/>
        <v>0</v>
      </c>
      <c r="G35" s="11">
        <f>(B5-(((C35-C26)+SUM(F26:F35))/2.31))</f>
        <v>638.6603870575736</v>
      </c>
      <c r="Q35">
        <f>((100*(D35/150)^1.85185)*(10.4057/(B8^4.87037)))</f>
        <v>0</v>
      </c>
    </row>
    <row r="36" spans="1:17" ht="12.75">
      <c r="A36" s="42">
        <v>380</v>
      </c>
      <c r="B36" s="1" t="s">
        <v>13</v>
      </c>
      <c r="C36" s="42">
        <v>100</v>
      </c>
      <c r="D36" s="11">
        <f>(D35-B15)</f>
        <v>-4.5</v>
      </c>
      <c r="E36" s="11">
        <f>((D36/448.8)/B9)</f>
        <v>-0.6185262278909291</v>
      </c>
      <c r="F36" s="12" t="e">
        <f t="shared" si="0"/>
        <v>#NUM!</v>
      </c>
      <c r="G36" s="11" t="e">
        <f>(B5-(((C36-C26)+SUM(F26:F36))/2.31))</f>
        <v>#NUM!</v>
      </c>
      <c r="Q36" t="e">
        <f>((100*(D36/150)^1.85185)*(10.4057/(B8^4.87037)))</f>
        <v>#NUM!</v>
      </c>
    </row>
    <row r="37" spans="1:17" ht="12.75">
      <c r="A37" s="42">
        <v>420</v>
      </c>
      <c r="B37" s="1" t="s">
        <v>14</v>
      </c>
      <c r="C37" s="42">
        <v>100</v>
      </c>
      <c r="D37" s="11">
        <f>(D36-B15)</f>
        <v>-9</v>
      </c>
      <c r="E37" s="11">
        <f>((D37/448.8)/B9)</f>
        <v>-1.2370524557818583</v>
      </c>
      <c r="F37" s="12" t="e">
        <f t="shared" si="0"/>
        <v>#NUM!</v>
      </c>
      <c r="G37" s="11" t="e">
        <f>(B5-(((C37-C26)+SUM(F26:F37))/2.31))</f>
        <v>#NUM!</v>
      </c>
      <c r="Q37" t="e">
        <f>((100*(D37/150)^1.85185)*(10.4057/(B8^4.87037)))</f>
        <v>#NUM!</v>
      </c>
    </row>
    <row r="38" spans="1:17" ht="12.75">
      <c r="A38" s="42">
        <v>460</v>
      </c>
      <c r="B38" s="1" t="s">
        <v>15</v>
      </c>
      <c r="C38" s="42">
        <v>100</v>
      </c>
      <c r="D38" s="11">
        <f>(D37-B15)</f>
        <v>-13.5</v>
      </c>
      <c r="E38" s="11">
        <f>((D38/448.8)/B9)</f>
        <v>-1.8555786836727872</v>
      </c>
      <c r="F38" s="12" t="e">
        <f t="shared" si="0"/>
        <v>#NUM!</v>
      </c>
      <c r="G38" s="11" t="e">
        <f>(B5-(((C38-C26)+SUM(F26:F38))/2.31))</f>
        <v>#NUM!</v>
      </c>
      <c r="Q38" t="e">
        <f>((100*(D38/150)^1.85185)*(10.4057/(B8^4.87037)))</f>
        <v>#NUM!</v>
      </c>
    </row>
    <row r="39" spans="1:17" ht="12.75">
      <c r="A39" s="42">
        <v>500</v>
      </c>
      <c r="B39" s="1" t="s">
        <v>16</v>
      </c>
      <c r="C39" s="42">
        <v>100</v>
      </c>
      <c r="D39" s="11">
        <f>(D38-B15)</f>
        <v>-18</v>
      </c>
      <c r="E39" s="11">
        <f>((D39/448.8)/B9)</f>
        <v>-2.4741049115637166</v>
      </c>
      <c r="F39" s="12" t="e">
        <f t="shared" si="0"/>
        <v>#NUM!</v>
      </c>
      <c r="G39" s="11" t="e">
        <f>(B5-(((C39-C26)+SUM(F26:F39))/2.31))</f>
        <v>#NUM!</v>
      </c>
      <c r="Q39" t="e">
        <f>((100*(D39/150)^1.85185)*(10.4057/(B8^4.87037)))</f>
        <v>#NUM!</v>
      </c>
    </row>
    <row r="40" spans="1:17" ht="12.75">
      <c r="A40" s="42">
        <v>540</v>
      </c>
      <c r="B40" s="1" t="s">
        <v>17</v>
      </c>
      <c r="C40" s="42">
        <v>100</v>
      </c>
      <c r="D40" s="11">
        <f>(D39-B15)</f>
        <v>-22.5</v>
      </c>
      <c r="E40" s="11">
        <f>((D40/448.8)/B9)</f>
        <v>-3.0926311394546455</v>
      </c>
      <c r="F40" s="12" t="e">
        <f t="shared" si="0"/>
        <v>#NUM!</v>
      </c>
      <c r="G40" s="11" t="e">
        <f>(B5-(((C40-C26)+SUM(F26:F40))/2.31))</f>
        <v>#NUM!</v>
      </c>
      <c r="Q40" t="e">
        <f>((100*(D40/150)^1.85185)*(10.4057/(B8^4.87037)))</f>
        <v>#NUM!</v>
      </c>
    </row>
    <row r="41" spans="1:17" ht="12.75">
      <c r="A41" s="42">
        <v>580</v>
      </c>
      <c r="B41" s="1" t="s">
        <v>18</v>
      </c>
      <c r="C41" s="42">
        <v>100</v>
      </c>
      <c r="D41" s="11">
        <f>(D40-B15)</f>
        <v>-27</v>
      </c>
      <c r="E41" s="11">
        <f>((D41/448.8)/B9)</f>
        <v>-3.7111573673455744</v>
      </c>
      <c r="F41" s="12" t="e">
        <f t="shared" si="0"/>
        <v>#NUM!</v>
      </c>
      <c r="G41" s="11" t="e">
        <f>(B5-(((C41-C26)+SUM(F26:F41))/2.31))</f>
        <v>#NUM!</v>
      </c>
      <c r="Q41" t="e">
        <f>((100*(D41/150)^1.85185)*(10.4057/(B8^4.87037)))</f>
        <v>#NUM!</v>
      </c>
    </row>
    <row r="42" spans="2:7" ht="12.75">
      <c r="B42" s="1"/>
      <c r="C42" s="1"/>
      <c r="D42" s="1"/>
      <c r="E42" s="1"/>
      <c r="F42" s="12"/>
      <c r="G42" s="1"/>
    </row>
    <row r="43" spans="2:7" ht="12.75">
      <c r="B43" s="1"/>
      <c r="C43" s="1"/>
      <c r="D43" s="1"/>
      <c r="E43" s="1"/>
      <c r="F43" s="12" t="e">
        <f>SUM(F27:F42)</f>
        <v>#NUM!</v>
      </c>
      <c r="G43" s="1"/>
    </row>
  </sheetData>
  <sheetProtection password="C7F0" sheet="1" selectLockedCells="1"/>
  <printOptions/>
  <pageMargins left="0.5" right="0.5" top="1" bottom="1" header="0.5" footer="0.5"/>
  <pageSetup fitToHeight="1" fitToWidth="1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="125" zoomScaleNormal="125" zoomScalePageLayoutView="0" workbookViewId="0" topLeftCell="A1">
      <selection activeCell="B3" sqref="B3"/>
    </sheetView>
  </sheetViews>
  <sheetFormatPr defaultColWidth="9.140625" defaultRowHeight="12.75"/>
  <cols>
    <col min="1" max="1" width="27.28125" style="0" customWidth="1"/>
    <col min="4" max="4" width="10.7109375" style="0" customWidth="1"/>
    <col min="5" max="5" width="13.7109375" style="0" customWidth="1"/>
    <col min="6" max="6" width="15.7109375" style="0" customWidth="1"/>
    <col min="7" max="7" width="13.00390625" style="0" customWidth="1"/>
  </cols>
  <sheetData>
    <row r="1" ht="15.75">
      <c r="A1" s="3" t="s">
        <v>92</v>
      </c>
    </row>
    <row r="3" spans="1:3" ht="12.75">
      <c r="A3" s="2" t="s">
        <v>93</v>
      </c>
      <c r="B3" s="42">
        <v>4</v>
      </c>
      <c r="C3" s="22" t="s">
        <v>94</v>
      </c>
    </row>
    <row r="4" ht="12.75">
      <c r="B4" s="1"/>
    </row>
    <row r="5" spans="1:6" ht="12.75">
      <c r="A5" s="2" t="s">
        <v>0</v>
      </c>
      <c r="B5" s="42">
        <v>39.3</v>
      </c>
      <c r="C5" s="1" t="s">
        <v>34</v>
      </c>
      <c r="F5" s="2" t="s">
        <v>100</v>
      </c>
    </row>
    <row r="6" spans="1:3" ht="12.75">
      <c r="A6" s="2" t="s">
        <v>1</v>
      </c>
      <c r="B6" s="42">
        <v>1494.5</v>
      </c>
      <c r="C6" s="1" t="s">
        <v>33</v>
      </c>
    </row>
    <row r="7" spans="1:6" ht="12.75">
      <c r="A7" s="2"/>
      <c r="B7" s="1"/>
      <c r="F7" s="13" t="s">
        <v>40</v>
      </c>
    </row>
    <row r="8" spans="1:6" ht="12.75">
      <c r="A8" s="2" t="s">
        <v>101</v>
      </c>
      <c r="B8" s="42">
        <v>1.724</v>
      </c>
      <c r="C8" s="1" t="s">
        <v>26</v>
      </c>
      <c r="F8" s="13" t="s">
        <v>41</v>
      </c>
    </row>
    <row r="9" spans="1:6" ht="12.75">
      <c r="A9" s="2" t="s">
        <v>102</v>
      </c>
      <c r="B9" s="50">
        <f>((((B8/12)/2))^2*3.14159)</f>
        <v>0.016210691666388888</v>
      </c>
      <c r="C9" s="1" t="s">
        <v>27</v>
      </c>
      <c r="F9" s="13" t="s">
        <v>42</v>
      </c>
    </row>
    <row r="10" spans="1:6" ht="12.75">
      <c r="A10" s="2" t="s">
        <v>103</v>
      </c>
      <c r="B10" s="51">
        <v>36</v>
      </c>
      <c r="C10" s="1" t="s">
        <v>23</v>
      </c>
      <c r="D10" s="5">
        <f>(B10/448.8)</f>
        <v>0.08021390374331551</v>
      </c>
      <c r="E10" t="s">
        <v>36</v>
      </c>
      <c r="F10" s="13" t="s">
        <v>43</v>
      </c>
    </row>
    <row r="11" spans="1:5" ht="12.75">
      <c r="A11" s="2" t="s">
        <v>39</v>
      </c>
      <c r="B11" s="51">
        <v>72</v>
      </c>
      <c r="C11" s="1" t="s">
        <v>23</v>
      </c>
      <c r="D11" s="5">
        <f>(B11/448.8)</f>
        <v>0.16042780748663102</v>
      </c>
      <c r="E11" t="s">
        <v>36</v>
      </c>
    </row>
    <row r="12" spans="1:4" ht="12.75">
      <c r="A12" s="2" t="s">
        <v>37</v>
      </c>
      <c r="B12" s="42">
        <v>2.4</v>
      </c>
      <c r="C12" s="1" t="s">
        <v>26</v>
      </c>
      <c r="D12" s="5"/>
    </row>
    <row r="13" spans="1:4" ht="12.75">
      <c r="A13" s="2" t="s">
        <v>38</v>
      </c>
      <c r="B13" s="50">
        <f>((((B12/12)/2))^2*3.14159)</f>
        <v>0.0314159</v>
      </c>
      <c r="C13" s="1" t="s">
        <v>27</v>
      </c>
      <c r="D13" s="5"/>
    </row>
    <row r="14" spans="1:4" ht="12.75">
      <c r="A14" s="2"/>
      <c r="B14" s="10"/>
      <c r="C14" s="1"/>
      <c r="D14" s="5"/>
    </row>
    <row r="15" spans="1:3" ht="12.75">
      <c r="A15" s="2" t="s">
        <v>28</v>
      </c>
      <c r="B15" s="42">
        <v>4.5</v>
      </c>
      <c r="C15" s="1" t="s">
        <v>35</v>
      </c>
    </row>
    <row r="17" ht="12.75">
      <c r="A17" s="6" t="s">
        <v>29</v>
      </c>
    </row>
    <row r="18" ht="12.75">
      <c r="A18" s="6" t="s">
        <v>30</v>
      </c>
    </row>
    <row r="19" ht="12.75">
      <c r="A19" s="6"/>
    </row>
    <row r="20" ht="12.75">
      <c r="A20" s="6" t="s">
        <v>44</v>
      </c>
    </row>
    <row r="21" ht="12.75">
      <c r="A21" s="6" t="s">
        <v>45</v>
      </c>
    </row>
    <row r="23" spans="2:7" ht="12.75">
      <c r="B23" s="1"/>
      <c r="C23" s="1"/>
      <c r="D23" s="1"/>
      <c r="E23" s="1"/>
      <c r="F23" s="8" t="s">
        <v>25</v>
      </c>
      <c r="G23" s="1"/>
    </row>
    <row r="24" spans="1:17" ht="12.75">
      <c r="A24" s="4" t="s">
        <v>2</v>
      </c>
      <c r="B24" s="9" t="s">
        <v>19</v>
      </c>
      <c r="C24" s="9" t="s">
        <v>20</v>
      </c>
      <c r="D24" s="9" t="s">
        <v>21</v>
      </c>
      <c r="E24" s="9" t="s">
        <v>22</v>
      </c>
      <c r="F24" s="9" t="s">
        <v>32</v>
      </c>
      <c r="G24" s="9" t="s">
        <v>31</v>
      </c>
      <c r="N24" s="24" t="s">
        <v>90</v>
      </c>
      <c r="O24" s="22" t="s">
        <v>91</v>
      </c>
      <c r="Q24" t="s">
        <v>24</v>
      </c>
    </row>
    <row r="25" spans="2:7" ht="12.75">
      <c r="B25" s="1"/>
      <c r="C25" s="1"/>
      <c r="D25" s="1"/>
      <c r="E25" s="1"/>
      <c r="F25" s="1"/>
      <c r="G25" s="1"/>
    </row>
    <row r="26" spans="1:17" ht="12.75">
      <c r="A26" s="42">
        <v>0</v>
      </c>
      <c r="B26" s="1" t="s">
        <v>3</v>
      </c>
      <c r="C26" s="10">
        <f>(B6)</f>
        <v>1494.5</v>
      </c>
      <c r="D26" s="11">
        <f>(B11)</f>
        <v>72</v>
      </c>
      <c r="E26" s="11">
        <f>((D26/448.8)/B13)</f>
        <v>5.106580027522084</v>
      </c>
      <c r="F26" s="1"/>
      <c r="G26" s="11"/>
      <c r="Q26">
        <f>((100*(D26/150)^1.85185)*(10.4057/(B8^4.87037)))</f>
        <v>18.83449169980293</v>
      </c>
    </row>
    <row r="27" spans="1:17" ht="12.75">
      <c r="A27" s="42">
        <v>75</v>
      </c>
      <c r="B27" s="1" t="s">
        <v>4</v>
      </c>
      <c r="C27" s="42">
        <v>1492.7</v>
      </c>
      <c r="D27" s="11">
        <f>(B10)</f>
        <v>36</v>
      </c>
      <c r="E27" s="11">
        <f>((D27/448.8)/B9)</f>
        <v>4.948209823127433</v>
      </c>
      <c r="F27" s="12">
        <f>((A27-A26)*(Q27/100))</f>
        <v>3.913386747854939</v>
      </c>
      <c r="G27" s="11">
        <f>(B5-(((C27-C26)+SUM(F26:F27))/2.31))</f>
        <v>38.385113961967534</v>
      </c>
      <c r="Q27">
        <f>((100*(D27/150)^1.85185)*(10.4057/(B8^4.87037)))</f>
        <v>5.217848997139918</v>
      </c>
    </row>
    <row r="28" spans="1:17" ht="12.75">
      <c r="A28" s="42">
        <v>125</v>
      </c>
      <c r="B28" s="1" t="s">
        <v>5</v>
      </c>
      <c r="C28" s="42">
        <v>1490.1</v>
      </c>
      <c r="D28" s="11">
        <f>(D27-B15)</f>
        <v>31.5</v>
      </c>
      <c r="E28" s="11">
        <f>((D28/448.8)/B9)</f>
        <v>4.329683595236504</v>
      </c>
      <c r="F28" s="12">
        <f>((A28-A27)*(Q28/100))</f>
        <v>2.037366326725286</v>
      </c>
      <c r="G28" s="11">
        <f>(B5-(((C28-C26)+SUM(F27:F28))/2.31))</f>
        <v>38.62867832269258</v>
      </c>
      <c r="Q28">
        <f>((100*(D28/150)^1.85185)*(10.4057/(B8^4.87037)))</f>
        <v>4.074732653450572</v>
      </c>
    </row>
    <row r="29" spans="1:17" ht="12.75">
      <c r="A29" s="42">
        <v>175</v>
      </c>
      <c r="B29" s="1" t="s">
        <v>6</v>
      </c>
      <c r="C29" s="42">
        <v>1486.3</v>
      </c>
      <c r="D29" s="11">
        <f>(D28-B15)</f>
        <v>27</v>
      </c>
      <c r="E29" s="11">
        <f>((D29/448.8)/B9)</f>
        <v>3.7111573673455744</v>
      </c>
      <c r="F29" s="12">
        <f aca="true" t="shared" si="0" ref="F29:F41">((A29-A28)*(Q29/100))</f>
        <v>1.531417873579813</v>
      </c>
      <c r="G29" s="11">
        <f>(B5-(((C29-C26)+SUM(F27:F29))/2.31))</f>
        <v>39.61074850729004</v>
      </c>
      <c r="Q29">
        <f>((100*(D29/150)^1.85185)*(10.4057/(B8^4.87037)))</f>
        <v>3.062835747159626</v>
      </c>
    </row>
    <row r="30" spans="1:17" ht="12.75">
      <c r="A30" s="42">
        <v>225</v>
      </c>
      <c r="B30" s="1" t="s">
        <v>7</v>
      </c>
      <c r="C30" s="42">
        <v>1482.8</v>
      </c>
      <c r="D30" s="11">
        <f>(D29-B15)</f>
        <v>22.5</v>
      </c>
      <c r="E30" s="11">
        <f>((D30/448.8)/B9)</f>
        <v>3.0926311394546455</v>
      </c>
      <c r="F30" s="12">
        <f t="shared" si="0"/>
        <v>1.0926018236590986</v>
      </c>
      <c r="G30" s="11">
        <f>(B5-(((C30-C26)+SUM(F26:F30))/2.31))</f>
        <v>40.652912219991734</v>
      </c>
      <c r="Q30">
        <f>((100*(D30/150)^1.85185)*(10.4057/(B8^4.87037)))</f>
        <v>2.1852036473181973</v>
      </c>
    </row>
    <row r="31" spans="1:17" ht="12.75">
      <c r="A31" s="42">
        <v>275</v>
      </c>
      <c r="B31" s="1" t="s">
        <v>8</v>
      </c>
      <c r="C31" s="42">
        <v>1480.5</v>
      </c>
      <c r="D31" s="11">
        <f>(D30-B15)</f>
        <v>18</v>
      </c>
      <c r="E31" s="11">
        <f>((D31/448.8)/B9)</f>
        <v>2.4741049115637166</v>
      </c>
      <c r="F31" s="12">
        <f t="shared" si="0"/>
        <v>0.7227683282060361</v>
      </c>
      <c r="G31" s="11">
        <f>(B5-(((C31-C26)+SUM(F26:F31))/2.31))</f>
        <v>41.33569649349559</v>
      </c>
      <c r="Q31">
        <f>((100*(D31/150)^1.85185)*(10.4057/(B8^4.87037)))</f>
        <v>1.4455366564120722</v>
      </c>
    </row>
    <row r="32" spans="1:17" ht="12.75">
      <c r="A32" s="42">
        <v>325</v>
      </c>
      <c r="B32" s="1" t="s">
        <v>9</v>
      </c>
      <c r="C32" s="42">
        <v>1480</v>
      </c>
      <c r="D32" s="11">
        <f>(D31-B15)</f>
        <v>13.5</v>
      </c>
      <c r="E32" s="11">
        <f>((D32/448.8)/B9)</f>
        <v>1.8555786836727872</v>
      </c>
      <c r="F32" s="12">
        <f t="shared" si="0"/>
        <v>0.42425924432800993</v>
      </c>
      <c r="G32" s="11">
        <f>(B5-(((C32-C26)+SUM(F26:F32))/2.31))</f>
        <v>41.3684846994142</v>
      </c>
      <c r="Q32">
        <f>((100*(D32/150)^1.85185)*(10.4057/(B8^4.87037)))</f>
        <v>0.8485184886560198</v>
      </c>
    </row>
    <row r="33" spans="1:17" ht="12.75">
      <c r="A33" s="42">
        <v>375</v>
      </c>
      <c r="B33" s="1" t="s">
        <v>10</v>
      </c>
      <c r="C33" s="42">
        <v>1481.1</v>
      </c>
      <c r="D33" s="11">
        <f>(D32-B15)</f>
        <v>9</v>
      </c>
      <c r="E33" s="11">
        <f>((D33/448.8)/B9)</f>
        <v>1.2370524557818583</v>
      </c>
      <c r="F33" s="12">
        <f t="shared" si="0"/>
        <v>0.20023348952569936</v>
      </c>
      <c r="G33" s="11">
        <f>(B5-(((C33-C26)+SUM(F26:F33))/2.31))</f>
        <v>40.80561305892693</v>
      </c>
      <c r="Q33">
        <f>((100*(D33/150)^1.85185)*(10.4057/(B8^4.87037)))</f>
        <v>0.4004669790513987</v>
      </c>
    </row>
    <row r="34" spans="1:17" ht="12.75">
      <c r="A34" s="42">
        <v>425</v>
      </c>
      <c r="B34" s="1" t="s">
        <v>11</v>
      </c>
      <c r="C34" s="42">
        <v>1482.8</v>
      </c>
      <c r="D34" s="11">
        <f>(D33-B15)</f>
        <v>4.5</v>
      </c>
      <c r="E34" s="11">
        <f>((D34/448.8)/B9)</f>
        <v>0.6185262278909291</v>
      </c>
      <c r="F34" s="12">
        <f t="shared" si="0"/>
        <v>0.05547206312588879</v>
      </c>
      <c r="G34" s="11">
        <f>(B5-(((C34-C26)+SUM(F26:F34))/2.31))</f>
        <v>40.045668442855096</v>
      </c>
      <c r="Q34">
        <f>((100*(D34/150)^1.85185)*(10.4057/(B8^4.87037)))</f>
        <v>0.11094412625177758</v>
      </c>
    </row>
    <row r="35" spans="1:17" ht="12.75">
      <c r="A35" s="42">
        <v>475</v>
      </c>
      <c r="B35" s="1" t="s">
        <v>12</v>
      </c>
      <c r="C35" s="42">
        <v>100</v>
      </c>
      <c r="D35" s="11">
        <f>(D34-B15)</f>
        <v>0</v>
      </c>
      <c r="E35" s="11">
        <f>((D35/448.8)/B9)</f>
        <v>0</v>
      </c>
      <c r="F35" s="12">
        <f t="shared" si="0"/>
        <v>0</v>
      </c>
      <c r="G35" s="11">
        <f>(B5-(((C35-C26)+SUM(F26:F35))/2.31))</f>
        <v>638.6603870575736</v>
      </c>
      <c r="Q35">
        <f>((100*(D35/150)^1.85185)*(10.4057/(B8^4.87037)))</f>
        <v>0</v>
      </c>
    </row>
    <row r="36" spans="1:17" ht="12.75">
      <c r="A36" s="42">
        <v>380</v>
      </c>
      <c r="B36" s="1" t="s">
        <v>13</v>
      </c>
      <c r="C36" s="42">
        <v>100</v>
      </c>
      <c r="D36" s="11">
        <f>(D35-B15)</f>
        <v>-4.5</v>
      </c>
      <c r="E36" s="11">
        <f>((D36/448.8)/B9)</f>
        <v>-0.6185262278909291</v>
      </c>
      <c r="F36" s="12" t="e">
        <f t="shared" si="0"/>
        <v>#NUM!</v>
      </c>
      <c r="G36" s="11" t="e">
        <f>(B5-(((C36-C26)+SUM(F26:F36))/2.31))</f>
        <v>#NUM!</v>
      </c>
      <c r="Q36" t="e">
        <f>((100*(D36/150)^1.85185)*(10.4057/(B8^4.87037)))</f>
        <v>#NUM!</v>
      </c>
    </row>
    <row r="37" spans="1:17" ht="12.75">
      <c r="A37" s="42">
        <v>420</v>
      </c>
      <c r="B37" s="1" t="s">
        <v>14</v>
      </c>
      <c r="C37" s="42">
        <v>100</v>
      </c>
      <c r="D37" s="11">
        <f>(D36-B15)</f>
        <v>-9</v>
      </c>
      <c r="E37" s="11">
        <f>((D37/448.8)/B9)</f>
        <v>-1.2370524557818583</v>
      </c>
      <c r="F37" s="12" t="e">
        <f t="shared" si="0"/>
        <v>#NUM!</v>
      </c>
      <c r="G37" s="11" t="e">
        <f>(B5-(((C37-C26)+SUM(F26:F37))/2.31))</f>
        <v>#NUM!</v>
      </c>
      <c r="Q37" t="e">
        <f>((100*(D37/150)^1.85185)*(10.4057/(B8^4.87037)))</f>
        <v>#NUM!</v>
      </c>
    </row>
    <row r="38" spans="1:17" ht="12.75">
      <c r="A38" s="42">
        <v>460</v>
      </c>
      <c r="B38" s="1" t="s">
        <v>15</v>
      </c>
      <c r="C38" s="42">
        <v>100</v>
      </c>
      <c r="D38" s="11">
        <f>(D37-B15)</f>
        <v>-13.5</v>
      </c>
      <c r="E38" s="11">
        <f>((D38/448.8)/B9)</f>
        <v>-1.8555786836727872</v>
      </c>
      <c r="F38" s="12" t="e">
        <f t="shared" si="0"/>
        <v>#NUM!</v>
      </c>
      <c r="G38" s="11" t="e">
        <f>(B5-(((C38-C26)+SUM(F26:F38))/2.31))</f>
        <v>#NUM!</v>
      </c>
      <c r="Q38" t="e">
        <f>((100*(D38/150)^1.85185)*(10.4057/(B8^4.87037)))</f>
        <v>#NUM!</v>
      </c>
    </row>
    <row r="39" spans="1:17" ht="12.75">
      <c r="A39" s="42">
        <v>500</v>
      </c>
      <c r="B39" s="1" t="s">
        <v>16</v>
      </c>
      <c r="C39" s="42">
        <v>100</v>
      </c>
      <c r="D39" s="11">
        <f>(D38-B15)</f>
        <v>-18</v>
      </c>
      <c r="E39" s="11">
        <f>((D39/448.8)/B9)</f>
        <v>-2.4741049115637166</v>
      </c>
      <c r="F39" s="12" t="e">
        <f t="shared" si="0"/>
        <v>#NUM!</v>
      </c>
      <c r="G39" s="11" t="e">
        <f>(B5-(((C39-C26)+SUM(F26:F39))/2.31))</f>
        <v>#NUM!</v>
      </c>
      <c r="Q39" t="e">
        <f>((100*(D39/150)^1.85185)*(10.4057/(B8^4.87037)))</f>
        <v>#NUM!</v>
      </c>
    </row>
    <row r="40" spans="1:17" ht="12.75">
      <c r="A40" s="42">
        <v>540</v>
      </c>
      <c r="B40" s="1" t="s">
        <v>17</v>
      </c>
      <c r="C40" s="42">
        <v>100</v>
      </c>
      <c r="D40" s="11">
        <f>(D39-B15)</f>
        <v>-22.5</v>
      </c>
      <c r="E40" s="11">
        <f>((D40/448.8)/B9)</f>
        <v>-3.0926311394546455</v>
      </c>
      <c r="F40" s="12" t="e">
        <f t="shared" si="0"/>
        <v>#NUM!</v>
      </c>
      <c r="G40" s="11" t="e">
        <f>(B5-(((C40-C26)+SUM(F26:F40))/2.31))</f>
        <v>#NUM!</v>
      </c>
      <c r="Q40" t="e">
        <f>((100*(D40/150)^1.85185)*(10.4057/(B8^4.87037)))</f>
        <v>#NUM!</v>
      </c>
    </row>
    <row r="41" spans="1:17" ht="12.75">
      <c r="A41" s="42">
        <v>580</v>
      </c>
      <c r="B41" s="1" t="s">
        <v>18</v>
      </c>
      <c r="C41" s="42">
        <v>100</v>
      </c>
      <c r="D41" s="11">
        <f>(D40-B15)</f>
        <v>-27</v>
      </c>
      <c r="E41" s="11">
        <f>((D41/448.8)/B9)</f>
        <v>-3.7111573673455744</v>
      </c>
      <c r="F41" s="12" t="e">
        <f t="shared" si="0"/>
        <v>#NUM!</v>
      </c>
      <c r="G41" s="11" t="e">
        <f>(B5-(((C41-C26)+SUM(F26:F41))/2.31))</f>
        <v>#NUM!</v>
      </c>
      <c r="Q41" t="e">
        <f>((100*(D41/150)^1.85185)*(10.4057/(B8^4.87037)))</f>
        <v>#NUM!</v>
      </c>
    </row>
    <row r="42" spans="2:7" ht="12.75">
      <c r="B42" s="1"/>
      <c r="C42" s="1"/>
      <c r="D42" s="1"/>
      <c r="E42" s="1"/>
      <c r="F42" s="12"/>
      <c r="G42" s="1"/>
    </row>
    <row r="43" spans="2:7" ht="12.75">
      <c r="B43" s="1"/>
      <c r="C43" s="1"/>
      <c r="D43" s="1"/>
      <c r="E43" s="1"/>
      <c r="F43" s="12" t="e">
        <f>SUM(F27:F42)</f>
        <v>#NUM!</v>
      </c>
      <c r="G43" s="1"/>
    </row>
  </sheetData>
  <sheetProtection password="C7F0" sheet="1" selectLockedCells="1"/>
  <printOptions/>
  <pageMargins left="0.5" right="0.5" top="1" bottom="1" header="0.5" footer="0.5"/>
  <pageSetup fitToHeight="1" fitToWidth="1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="125" zoomScaleNormal="125" zoomScalePageLayoutView="0" workbookViewId="0" topLeftCell="A1">
      <selection activeCell="B11" sqref="B11"/>
    </sheetView>
  </sheetViews>
  <sheetFormatPr defaultColWidth="9.140625" defaultRowHeight="12.75"/>
  <cols>
    <col min="1" max="1" width="27.28125" style="0" customWidth="1"/>
    <col min="4" max="4" width="10.7109375" style="0" customWidth="1"/>
    <col min="5" max="5" width="13.7109375" style="0" customWidth="1"/>
    <col min="6" max="6" width="15.7109375" style="0" customWidth="1"/>
    <col min="7" max="7" width="13.00390625" style="0" customWidth="1"/>
  </cols>
  <sheetData>
    <row r="1" ht="15.75">
      <c r="A1" s="3" t="s">
        <v>92</v>
      </c>
    </row>
    <row r="3" spans="1:3" ht="12.75">
      <c r="A3" s="2" t="s">
        <v>93</v>
      </c>
      <c r="B3" s="42">
        <v>5</v>
      </c>
      <c r="C3" s="22" t="s">
        <v>94</v>
      </c>
    </row>
    <row r="4" ht="12.75">
      <c r="B4" s="1"/>
    </row>
    <row r="5" spans="1:6" ht="12.75">
      <c r="A5" s="2" t="s">
        <v>0</v>
      </c>
      <c r="B5" s="42">
        <v>39.3</v>
      </c>
      <c r="C5" s="1" t="s">
        <v>34</v>
      </c>
      <c r="F5" s="2" t="s">
        <v>100</v>
      </c>
    </row>
    <row r="6" spans="1:3" ht="12.75">
      <c r="A6" s="2" t="s">
        <v>1</v>
      </c>
      <c r="B6" s="42">
        <v>1494.5</v>
      </c>
      <c r="C6" s="1" t="s">
        <v>33</v>
      </c>
    </row>
    <row r="7" spans="1:6" ht="12.75">
      <c r="A7" s="2"/>
      <c r="B7" s="1"/>
      <c r="F7" s="13" t="s">
        <v>40</v>
      </c>
    </row>
    <row r="8" spans="1:6" ht="12.75">
      <c r="A8" s="2" t="s">
        <v>101</v>
      </c>
      <c r="B8" s="42">
        <v>1.724</v>
      </c>
      <c r="C8" s="1" t="s">
        <v>26</v>
      </c>
      <c r="F8" s="13" t="s">
        <v>41</v>
      </c>
    </row>
    <row r="9" spans="1:6" ht="12.75">
      <c r="A9" s="2" t="s">
        <v>102</v>
      </c>
      <c r="B9" s="50">
        <f>((((B8/12)/2))^2*3.14159)</f>
        <v>0.016210691666388888</v>
      </c>
      <c r="C9" s="1" t="s">
        <v>27</v>
      </c>
      <c r="F9" s="13" t="s">
        <v>42</v>
      </c>
    </row>
    <row r="10" spans="1:6" ht="12.75">
      <c r="A10" s="2" t="s">
        <v>103</v>
      </c>
      <c r="B10" s="51">
        <v>36</v>
      </c>
      <c r="C10" s="1" t="s">
        <v>23</v>
      </c>
      <c r="D10" s="5">
        <f>(B10/448.8)</f>
        <v>0.08021390374331551</v>
      </c>
      <c r="E10" t="s">
        <v>36</v>
      </c>
      <c r="F10" s="13" t="s">
        <v>43</v>
      </c>
    </row>
    <row r="11" spans="1:5" ht="12.75">
      <c r="A11" s="2" t="s">
        <v>39</v>
      </c>
      <c r="B11" s="51">
        <v>72</v>
      </c>
      <c r="C11" s="1" t="s">
        <v>23</v>
      </c>
      <c r="D11" s="5">
        <f>(B11/448.8)</f>
        <v>0.16042780748663102</v>
      </c>
      <c r="E11" t="s">
        <v>36</v>
      </c>
    </row>
    <row r="12" spans="1:4" ht="12.75">
      <c r="A12" s="2" t="s">
        <v>37</v>
      </c>
      <c r="B12" s="42">
        <v>2.4</v>
      </c>
      <c r="C12" s="1" t="s">
        <v>26</v>
      </c>
      <c r="D12" s="5"/>
    </row>
    <row r="13" spans="1:4" ht="12.75">
      <c r="A13" s="2" t="s">
        <v>38</v>
      </c>
      <c r="B13" s="50">
        <f>((((B12/12)/2))^2*3.14159)</f>
        <v>0.0314159</v>
      </c>
      <c r="C13" s="1" t="s">
        <v>27</v>
      </c>
      <c r="D13" s="5"/>
    </row>
    <row r="14" spans="1:4" ht="12.75">
      <c r="A14" s="2"/>
      <c r="B14" s="10"/>
      <c r="C14" s="1"/>
      <c r="D14" s="5"/>
    </row>
    <row r="15" spans="1:3" ht="12.75">
      <c r="A15" s="2" t="s">
        <v>28</v>
      </c>
      <c r="B15" s="42">
        <v>4.5</v>
      </c>
      <c r="C15" s="1" t="s">
        <v>35</v>
      </c>
    </row>
    <row r="17" ht="12.75">
      <c r="A17" s="6" t="s">
        <v>29</v>
      </c>
    </row>
    <row r="18" ht="12.75">
      <c r="A18" s="6" t="s">
        <v>30</v>
      </c>
    </row>
    <row r="19" ht="12.75">
      <c r="A19" s="6"/>
    </row>
    <row r="20" ht="12.75">
      <c r="A20" s="6" t="s">
        <v>44</v>
      </c>
    </row>
    <row r="21" ht="12.75">
      <c r="A21" s="6" t="s">
        <v>45</v>
      </c>
    </row>
    <row r="23" spans="2:7" ht="12.75">
      <c r="B23" s="1"/>
      <c r="C23" s="1"/>
      <c r="D23" s="1"/>
      <c r="E23" s="1"/>
      <c r="F23" s="8" t="s">
        <v>25</v>
      </c>
      <c r="G23" s="1"/>
    </row>
    <row r="24" spans="1:17" ht="12.75">
      <c r="A24" s="4" t="s">
        <v>2</v>
      </c>
      <c r="B24" s="9" t="s">
        <v>19</v>
      </c>
      <c r="C24" s="9" t="s">
        <v>20</v>
      </c>
      <c r="D24" s="9" t="s">
        <v>21</v>
      </c>
      <c r="E24" s="9" t="s">
        <v>22</v>
      </c>
      <c r="F24" s="9" t="s">
        <v>32</v>
      </c>
      <c r="G24" s="9" t="s">
        <v>31</v>
      </c>
      <c r="N24" s="24" t="s">
        <v>90</v>
      </c>
      <c r="O24" s="22" t="s">
        <v>91</v>
      </c>
      <c r="Q24" t="s">
        <v>24</v>
      </c>
    </row>
    <row r="25" spans="2:7" ht="12.75">
      <c r="B25" s="1"/>
      <c r="C25" s="1"/>
      <c r="D25" s="1"/>
      <c r="E25" s="1"/>
      <c r="F25" s="1"/>
      <c r="G25" s="1"/>
    </row>
    <row r="26" spans="1:17" ht="12.75">
      <c r="A26" s="42">
        <v>0</v>
      </c>
      <c r="B26" s="1" t="s">
        <v>3</v>
      </c>
      <c r="C26" s="10">
        <f>(B6)</f>
        <v>1494.5</v>
      </c>
      <c r="D26" s="11">
        <f>(B11)</f>
        <v>72</v>
      </c>
      <c r="E26" s="11">
        <f>((D26/448.8)/B13)</f>
        <v>5.106580027522084</v>
      </c>
      <c r="F26" s="1"/>
      <c r="G26" s="11"/>
      <c r="Q26">
        <f>((100*(D26/150)^1.85185)*(10.4057/(B8^4.87037)))</f>
        <v>18.83449169980293</v>
      </c>
    </row>
    <row r="27" spans="1:17" ht="12.75">
      <c r="A27" s="42">
        <v>75</v>
      </c>
      <c r="B27" s="1" t="s">
        <v>4</v>
      </c>
      <c r="C27" s="42">
        <v>1492.7</v>
      </c>
      <c r="D27" s="11">
        <f>(B10)</f>
        <v>36</v>
      </c>
      <c r="E27" s="11">
        <f>((D27/448.8)/B9)</f>
        <v>4.948209823127433</v>
      </c>
      <c r="F27" s="12">
        <f>((A27-A26)*(Q27/100))</f>
        <v>3.913386747854939</v>
      </c>
      <c r="G27" s="11">
        <f>(B5-(((C27-C26)+SUM(F26:F27))/2.31))</f>
        <v>38.385113961967534</v>
      </c>
      <c r="Q27">
        <f>((100*(D27/150)^1.85185)*(10.4057/(B8^4.87037)))</f>
        <v>5.217848997139918</v>
      </c>
    </row>
    <row r="28" spans="1:17" ht="12.75">
      <c r="A28" s="42">
        <v>125</v>
      </c>
      <c r="B28" s="1" t="s">
        <v>5</v>
      </c>
      <c r="C28" s="42">
        <v>1490.1</v>
      </c>
      <c r="D28" s="11">
        <f>(D27-B15)</f>
        <v>31.5</v>
      </c>
      <c r="E28" s="11">
        <f>((D28/448.8)/B9)</f>
        <v>4.329683595236504</v>
      </c>
      <c r="F28" s="12">
        <f>((A28-A27)*(Q28/100))</f>
        <v>2.037366326725286</v>
      </c>
      <c r="G28" s="11">
        <f>(B5-(((C28-C26)+SUM(F27:F28))/2.31))</f>
        <v>38.62867832269258</v>
      </c>
      <c r="Q28">
        <f>((100*(D28/150)^1.85185)*(10.4057/(B8^4.87037)))</f>
        <v>4.074732653450572</v>
      </c>
    </row>
    <row r="29" spans="1:17" ht="12.75">
      <c r="A29" s="42">
        <v>175</v>
      </c>
      <c r="B29" s="1" t="s">
        <v>6</v>
      </c>
      <c r="C29" s="42">
        <v>1486.3</v>
      </c>
      <c r="D29" s="11">
        <f>(D28-B15)</f>
        <v>27</v>
      </c>
      <c r="E29" s="11">
        <f>((D29/448.8)/B9)</f>
        <v>3.7111573673455744</v>
      </c>
      <c r="F29" s="12">
        <f aca="true" t="shared" si="0" ref="F29:F41">((A29-A28)*(Q29/100))</f>
        <v>1.531417873579813</v>
      </c>
      <c r="G29" s="11">
        <f>(B5-(((C29-C26)+SUM(F27:F29))/2.31))</f>
        <v>39.61074850729004</v>
      </c>
      <c r="Q29">
        <f>((100*(D29/150)^1.85185)*(10.4057/(B8^4.87037)))</f>
        <v>3.062835747159626</v>
      </c>
    </row>
    <row r="30" spans="1:17" ht="12.75">
      <c r="A30" s="42">
        <v>225</v>
      </c>
      <c r="B30" s="1" t="s">
        <v>7</v>
      </c>
      <c r="C30" s="42">
        <v>1482.8</v>
      </c>
      <c r="D30" s="11">
        <f>(D29-B15)</f>
        <v>22.5</v>
      </c>
      <c r="E30" s="11">
        <f>((D30/448.8)/B9)</f>
        <v>3.0926311394546455</v>
      </c>
      <c r="F30" s="12">
        <f t="shared" si="0"/>
        <v>1.0926018236590986</v>
      </c>
      <c r="G30" s="11">
        <f>(B5-(((C30-C26)+SUM(F26:F30))/2.31))</f>
        <v>40.652912219991734</v>
      </c>
      <c r="Q30">
        <f>((100*(D30/150)^1.85185)*(10.4057/(B8^4.87037)))</f>
        <v>2.1852036473181973</v>
      </c>
    </row>
    <row r="31" spans="1:17" ht="12.75">
      <c r="A31" s="42">
        <v>275</v>
      </c>
      <c r="B31" s="1" t="s">
        <v>8</v>
      </c>
      <c r="C31" s="42">
        <v>1480.5</v>
      </c>
      <c r="D31" s="11">
        <f>(D30-B15)</f>
        <v>18</v>
      </c>
      <c r="E31" s="11">
        <f>((D31/448.8)/B9)</f>
        <v>2.4741049115637166</v>
      </c>
      <c r="F31" s="12">
        <f t="shared" si="0"/>
        <v>0.7227683282060361</v>
      </c>
      <c r="G31" s="11">
        <f>(B5-(((C31-C26)+SUM(F26:F31))/2.31))</f>
        <v>41.33569649349559</v>
      </c>
      <c r="Q31">
        <f>((100*(D31/150)^1.85185)*(10.4057/(B8^4.87037)))</f>
        <v>1.4455366564120722</v>
      </c>
    </row>
    <row r="32" spans="1:17" ht="12.75">
      <c r="A32" s="42">
        <v>325</v>
      </c>
      <c r="B32" s="1" t="s">
        <v>9</v>
      </c>
      <c r="C32" s="42">
        <v>1480</v>
      </c>
      <c r="D32" s="11">
        <f>(D31-B15)</f>
        <v>13.5</v>
      </c>
      <c r="E32" s="11">
        <f>((D32/448.8)/B9)</f>
        <v>1.8555786836727872</v>
      </c>
      <c r="F32" s="12">
        <f t="shared" si="0"/>
        <v>0.42425924432800993</v>
      </c>
      <c r="G32" s="11">
        <f>(B5-(((C32-C26)+SUM(F26:F32))/2.31))</f>
        <v>41.3684846994142</v>
      </c>
      <c r="Q32">
        <f>((100*(D32/150)^1.85185)*(10.4057/(B8^4.87037)))</f>
        <v>0.8485184886560198</v>
      </c>
    </row>
    <row r="33" spans="1:17" ht="12.75">
      <c r="A33" s="42">
        <v>375</v>
      </c>
      <c r="B33" s="1" t="s">
        <v>10</v>
      </c>
      <c r="C33" s="42">
        <v>1481.1</v>
      </c>
      <c r="D33" s="11">
        <f>(D32-B15)</f>
        <v>9</v>
      </c>
      <c r="E33" s="11">
        <f>((D33/448.8)/B9)</f>
        <v>1.2370524557818583</v>
      </c>
      <c r="F33" s="12">
        <f t="shared" si="0"/>
        <v>0.20023348952569936</v>
      </c>
      <c r="G33" s="11">
        <f>(B5-(((C33-C26)+SUM(F26:F33))/2.31))</f>
        <v>40.80561305892693</v>
      </c>
      <c r="Q33">
        <f>((100*(D33/150)^1.85185)*(10.4057/(B8^4.87037)))</f>
        <v>0.4004669790513987</v>
      </c>
    </row>
    <row r="34" spans="1:17" ht="12.75">
      <c r="A34" s="42">
        <v>425</v>
      </c>
      <c r="B34" s="1" t="s">
        <v>11</v>
      </c>
      <c r="C34" s="42">
        <v>1482.8</v>
      </c>
      <c r="D34" s="11">
        <f>(D33-B15)</f>
        <v>4.5</v>
      </c>
      <c r="E34" s="11">
        <f>((D34/448.8)/B9)</f>
        <v>0.6185262278909291</v>
      </c>
      <c r="F34" s="12">
        <f t="shared" si="0"/>
        <v>0.05547206312588879</v>
      </c>
      <c r="G34" s="11">
        <f>(B5-(((C34-C26)+SUM(F26:F34))/2.31))</f>
        <v>40.045668442855096</v>
      </c>
      <c r="Q34">
        <f>((100*(D34/150)^1.85185)*(10.4057/(B8^4.87037)))</f>
        <v>0.11094412625177758</v>
      </c>
    </row>
    <row r="35" spans="1:17" ht="12.75">
      <c r="A35" s="42">
        <v>475</v>
      </c>
      <c r="B35" s="1" t="s">
        <v>12</v>
      </c>
      <c r="C35" s="42">
        <v>100</v>
      </c>
      <c r="D35" s="11">
        <f>(D34-B15)</f>
        <v>0</v>
      </c>
      <c r="E35" s="11">
        <f>((D35/448.8)/B9)</f>
        <v>0</v>
      </c>
      <c r="F35" s="12">
        <f t="shared" si="0"/>
        <v>0</v>
      </c>
      <c r="G35" s="11">
        <f>(B5-(((C35-C26)+SUM(F26:F35))/2.31))</f>
        <v>638.6603870575736</v>
      </c>
      <c r="Q35">
        <f>((100*(D35/150)^1.85185)*(10.4057/(B8^4.87037)))</f>
        <v>0</v>
      </c>
    </row>
    <row r="36" spans="1:17" ht="12.75">
      <c r="A36" s="42">
        <v>380</v>
      </c>
      <c r="B36" s="1" t="s">
        <v>13</v>
      </c>
      <c r="C36" s="42">
        <v>100</v>
      </c>
      <c r="D36" s="11">
        <f>(D35-B15)</f>
        <v>-4.5</v>
      </c>
      <c r="E36" s="11">
        <f>((D36/448.8)/B9)</f>
        <v>-0.6185262278909291</v>
      </c>
      <c r="F36" s="12" t="e">
        <f t="shared" si="0"/>
        <v>#NUM!</v>
      </c>
      <c r="G36" s="11" t="e">
        <f>(B5-(((C36-C26)+SUM(F26:F36))/2.31))</f>
        <v>#NUM!</v>
      </c>
      <c r="Q36" t="e">
        <f>((100*(D36/150)^1.85185)*(10.4057/(B8^4.87037)))</f>
        <v>#NUM!</v>
      </c>
    </row>
    <row r="37" spans="1:17" ht="12.75">
      <c r="A37" s="42">
        <v>420</v>
      </c>
      <c r="B37" s="1" t="s">
        <v>14</v>
      </c>
      <c r="C37" s="42">
        <v>100</v>
      </c>
      <c r="D37" s="11">
        <f>(D36-B15)</f>
        <v>-9</v>
      </c>
      <c r="E37" s="11">
        <f>((D37/448.8)/B9)</f>
        <v>-1.2370524557818583</v>
      </c>
      <c r="F37" s="12" t="e">
        <f t="shared" si="0"/>
        <v>#NUM!</v>
      </c>
      <c r="G37" s="11" t="e">
        <f>(B5-(((C37-C26)+SUM(F26:F37))/2.31))</f>
        <v>#NUM!</v>
      </c>
      <c r="Q37" t="e">
        <f>((100*(D37/150)^1.85185)*(10.4057/(B8^4.87037)))</f>
        <v>#NUM!</v>
      </c>
    </row>
    <row r="38" spans="1:17" ht="12.75">
      <c r="A38" s="42">
        <v>460</v>
      </c>
      <c r="B38" s="1" t="s">
        <v>15</v>
      </c>
      <c r="C38" s="42">
        <v>100</v>
      </c>
      <c r="D38" s="11">
        <f>(D37-B15)</f>
        <v>-13.5</v>
      </c>
      <c r="E38" s="11">
        <f>((D38/448.8)/B9)</f>
        <v>-1.8555786836727872</v>
      </c>
      <c r="F38" s="12" t="e">
        <f t="shared" si="0"/>
        <v>#NUM!</v>
      </c>
      <c r="G38" s="11" t="e">
        <f>(B5-(((C38-C26)+SUM(F26:F38))/2.31))</f>
        <v>#NUM!</v>
      </c>
      <c r="Q38" t="e">
        <f>((100*(D38/150)^1.85185)*(10.4057/(B8^4.87037)))</f>
        <v>#NUM!</v>
      </c>
    </row>
    <row r="39" spans="1:17" ht="12.75">
      <c r="A39" s="42">
        <v>500</v>
      </c>
      <c r="B39" s="1" t="s">
        <v>16</v>
      </c>
      <c r="C39" s="42">
        <v>100</v>
      </c>
      <c r="D39" s="11">
        <f>(D38-B15)</f>
        <v>-18</v>
      </c>
      <c r="E39" s="11">
        <f>((D39/448.8)/B9)</f>
        <v>-2.4741049115637166</v>
      </c>
      <c r="F39" s="12" t="e">
        <f t="shared" si="0"/>
        <v>#NUM!</v>
      </c>
      <c r="G39" s="11" t="e">
        <f>(B5-(((C39-C26)+SUM(F26:F39))/2.31))</f>
        <v>#NUM!</v>
      </c>
      <c r="Q39" t="e">
        <f>((100*(D39/150)^1.85185)*(10.4057/(B8^4.87037)))</f>
        <v>#NUM!</v>
      </c>
    </row>
    <row r="40" spans="1:17" ht="12.75">
      <c r="A40" s="42">
        <v>540</v>
      </c>
      <c r="B40" s="1" t="s">
        <v>17</v>
      </c>
      <c r="C40" s="42">
        <v>100</v>
      </c>
      <c r="D40" s="11">
        <f>(D39-B15)</f>
        <v>-22.5</v>
      </c>
      <c r="E40" s="11">
        <f>((D40/448.8)/B9)</f>
        <v>-3.0926311394546455</v>
      </c>
      <c r="F40" s="12" t="e">
        <f t="shared" si="0"/>
        <v>#NUM!</v>
      </c>
      <c r="G40" s="11" t="e">
        <f>(B5-(((C40-C26)+SUM(F26:F40))/2.31))</f>
        <v>#NUM!</v>
      </c>
      <c r="Q40" t="e">
        <f>((100*(D40/150)^1.85185)*(10.4057/(B8^4.87037)))</f>
        <v>#NUM!</v>
      </c>
    </row>
    <row r="41" spans="1:17" ht="12.75">
      <c r="A41" s="42">
        <v>580</v>
      </c>
      <c r="B41" s="1" t="s">
        <v>18</v>
      </c>
      <c r="C41" s="42">
        <v>100</v>
      </c>
      <c r="D41" s="11">
        <f>(D40-B15)</f>
        <v>-27</v>
      </c>
      <c r="E41" s="11">
        <f>((D41/448.8)/B9)</f>
        <v>-3.7111573673455744</v>
      </c>
      <c r="F41" s="12" t="e">
        <f t="shared" si="0"/>
        <v>#NUM!</v>
      </c>
      <c r="G41" s="11" t="e">
        <f>(B5-(((C41-C26)+SUM(F26:F41))/2.31))</f>
        <v>#NUM!</v>
      </c>
      <c r="Q41" t="e">
        <f>((100*(D41/150)^1.85185)*(10.4057/(B8^4.87037)))</f>
        <v>#NUM!</v>
      </c>
    </row>
    <row r="42" spans="2:7" ht="12.75">
      <c r="B42" s="1"/>
      <c r="C42" s="1"/>
      <c r="D42" s="1"/>
      <c r="E42" s="1"/>
      <c r="F42" s="12"/>
      <c r="G42" s="1"/>
    </row>
    <row r="43" spans="2:7" ht="12.75">
      <c r="B43" s="1"/>
      <c r="C43" s="1"/>
      <c r="D43" s="1"/>
      <c r="E43" s="1"/>
      <c r="F43" s="12" t="e">
        <f>SUM(F27:F42)</f>
        <v>#NUM!</v>
      </c>
      <c r="G43" s="1"/>
    </row>
  </sheetData>
  <sheetProtection password="C7F0" sheet="1" selectLockedCells="1"/>
  <printOptions/>
  <pageMargins left="0.5" right="0.5" top="1" bottom="1" header="0.5" footer="0.5"/>
  <pageSetup fitToHeight="1" fitToWidth="1" orientation="portrait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="125" zoomScaleNormal="125" zoomScalePageLayoutView="0" workbookViewId="0" topLeftCell="A1">
      <selection activeCell="B5" sqref="B5"/>
    </sheetView>
  </sheetViews>
  <sheetFormatPr defaultColWidth="9.140625" defaultRowHeight="12.75"/>
  <cols>
    <col min="1" max="1" width="27.28125" style="0" customWidth="1"/>
    <col min="4" max="4" width="10.7109375" style="0" customWidth="1"/>
    <col min="5" max="5" width="13.7109375" style="0" customWidth="1"/>
    <col min="6" max="6" width="15.7109375" style="0" customWidth="1"/>
    <col min="7" max="7" width="13.00390625" style="0" customWidth="1"/>
  </cols>
  <sheetData>
    <row r="1" ht="15.75">
      <c r="A1" s="3" t="s">
        <v>92</v>
      </c>
    </row>
    <row r="3" spans="1:3" ht="12.75">
      <c r="A3" s="2" t="s">
        <v>93</v>
      </c>
      <c r="B3" s="42">
        <v>6</v>
      </c>
      <c r="C3" s="22" t="s">
        <v>94</v>
      </c>
    </row>
    <row r="4" ht="12.75">
      <c r="B4" s="1"/>
    </row>
    <row r="5" spans="1:6" ht="12.75">
      <c r="A5" s="2" t="s">
        <v>0</v>
      </c>
      <c r="B5" s="42">
        <v>39.3</v>
      </c>
      <c r="C5" s="1" t="s">
        <v>34</v>
      </c>
      <c r="F5" s="2" t="s">
        <v>100</v>
      </c>
    </row>
    <row r="6" spans="1:3" ht="12.75">
      <c r="A6" s="2" t="s">
        <v>1</v>
      </c>
      <c r="B6" s="42">
        <v>1494.5</v>
      </c>
      <c r="C6" s="1" t="s">
        <v>33</v>
      </c>
    </row>
    <row r="7" spans="1:6" ht="12.75">
      <c r="A7" s="2"/>
      <c r="B7" s="1"/>
      <c r="F7" s="13" t="s">
        <v>40</v>
      </c>
    </row>
    <row r="8" spans="1:6" ht="12.75">
      <c r="A8" s="2" t="s">
        <v>101</v>
      </c>
      <c r="B8" s="42">
        <v>1.724</v>
      </c>
      <c r="C8" s="1" t="s">
        <v>26</v>
      </c>
      <c r="F8" s="13" t="s">
        <v>41</v>
      </c>
    </row>
    <row r="9" spans="1:6" ht="12.75">
      <c r="A9" s="2" t="s">
        <v>102</v>
      </c>
      <c r="B9" s="50">
        <f>((((B8/12)/2))^2*3.14159)</f>
        <v>0.016210691666388888</v>
      </c>
      <c r="C9" s="1" t="s">
        <v>27</v>
      </c>
      <c r="F9" s="13" t="s">
        <v>42</v>
      </c>
    </row>
    <row r="10" spans="1:6" ht="12.75">
      <c r="A10" s="2" t="s">
        <v>103</v>
      </c>
      <c r="B10" s="51">
        <v>36</v>
      </c>
      <c r="C10" s="1" t="s">
        <v>23</v>
      </c>
      <c r="D10" s="5">
        <f>(B10/448.8)</f>
        <v>0.08021390374331551</v>
      </c>
      <c r="E10" t="s">
        <v>36</v>
      </c>
      <c r="F10" s="13" t="s">
        <v>43</v>
      </c>
    </row>
    <row r="11" spans="1:5" ht="12.75">
      <c r="A11" s="2" t="s">
        <v>39</v>
      </c>
      <c r="B11" s="51">
        <v>72</v>
      </c>
      <c r="C11" s="1" t="s">
        <v>23</v>
      </c>
      <c r="D11" s="5">
        <f>(B11/448.8)</f>
        <v>0.16042780748663102</v>
      </c>
      <c r="E11" t="s">
        <v>36</v>
      </c>
    </row>
    <row r="12" spans="1:4" ht="12.75">
      <c r="A12" s="2" t="s">
        <v>37</v>
      </c>
      <c r="B12" s="42">
        <v>2.4</v>
      </c>
      <c r="C12" s="1" t="s">
        <v>26</v>
      </c>
      <c r="D12" s="5"/>
    </row>
    <row r="13" spans="1:4" ht="12.75">
      <c r="A13" s="2" t="s">
        <v>38</v>
      </c>
      <c r="B13" s="50">
        <f>((((B12/12)/2))^2*3.14159)</f>
        <v>0.0314159</v>
      </c>
      <c r="C13" s="1" t="s">
        <v>27</v>
      </c>
      <c r="D13" s="5"/>
    </row>
    <row r="14" spans="1:4" ht="12.75">
      <c r="A14" s="2"/>
      <c r="B14" s="10"/>
      <c r="C14" s="1"/>
      <c r="D14" s="5"/>
    </row>
    <row r="15" spans="1:3" ht="12.75">
      <c r="A15" s="2" t="s">
        <v>28</v>
      </c>
      <c r="B15" s="42">
        <v>4.5</v>
      </c>
      <c r="C15" s="1" t="s">
        <v>35</v>
      </c>
    </row>
    <row r="17" ht="12.75">
      <c r="A17" s="6" t="s">
        <v>29</v>
      </c>
    </row>
    <row r="18" ht="12.75">
      <c r="A18" s="6" t="s">
        <v>30</v>
      </c>
    </row>
    <row r="19" ht="12.75">
      <c r="A19" s="6"/>
    </row>
    <row r="20" ht="12.75">
      <c r="A20" s="6" t="s">
        <v>44</v>
      </c>
    </row>
    <row r="21" ht="12.75">
      <c r="A21" s="6" t="s">
        <v>45</v>
      </c>
    </row>
    <row r="23" spans="2:7" ht="12.75">
      <c r="B23" s="1"/>
      <c r="C23" s="1"/>
      <c r="D23" s="1"/>
      <c r="E23" s="1"/>
      <c r="F23" s="8" t="s">
        <v>25</v>
      </c>
      <c r="G23" s="1"/>
    </row>
    <row r="24" spans="1:17" ht="12.75">
      <c r="A24" s="4" t="s">
        <v>2</v>
      </c>
      <c r="B24" s="9" t="s">
        <v>19</v>
      </c>
      <c r="C24" s="9" t="s">
        <v>20</v>
      </c>
      <c r="D24" s="9" t="s">
        <v>21</v>
      </c>
      <c r="E24" s="9" t="s">
        <v>22</v>
      </c>
      <c r="F24" s="9" t="s">
        <v>32</v>
      </c>
      <c r="G24" s="9" t="s">
        <v>31</v>
      </c>
      <c r="Q24" t="s">
        <v>24</v>
      </c>
    </row>
    <row r="25" spans="2:7" ht="12.75">
      <c r="B25" s="1"/>
      <c r="C25" s="1"/>
      <c r="D25" s="1"/>
      <c r="E25" s="1"/>
      <c r="F25" s="1"/>
      <c r="G25" s="1"/>
    </row>
    <row r="26" spans="1:17" ht="12.75">
      <c r="A26" s="42">
        <v>0</v>
      </c>
      <c r="B26" s="1" t="s">
        <v>3</v>
      </c>
      <c r="C26" s="10">
        <f>(B6)</f>
        <v>1494.5</v>
      </c>
      <c r="D26" s="11">
        <f>(B11)</f>
        <v>72</v>
      </c>
      <c r="E26" s="11">
        <f>((D26/448.8)/B13)</f>
        <v>5.106580027522084</v>
      </c>
      <c r="F26" s="1"/>
      <c r="G26" s="11"/>
      <c r="Q26">
        <f>((100*(D26/150)^1.85185)*(10.4057/(B8^4.87037)))</f>
        <v>18.83449169980293</v>
      </c>
    </row>
    <row r="27" spans="1:17" ht="12.75">
      <c r="A27" s="42">
        <v>75</v>
      </c>
      <c r="B27" s="1" t="s">
        <v>4</v>
      </c>
      <c r="C27" s="42">
        <v>1492.7</v>
      </c>
      <c r="D27" s="11">
        <f>(B10)</f>
        <v>36</v>
      </c>
      <c r="E27" s="11">
        <f>((D27/448.8)/B9)</f>
        <v>4.948209823127433</v>
      </c>
      <c r="F27" s="12">
        <f>((A27-A26)*(Q27/100))</f>
        <v>3.913386747854939</v>
      </c>
      <c r="G27" s="11">
        <f>(B5-(((C27-C26)+SUM(F26:F27))/2.31))</f>
        <v>38.385113961967534</v>
      </c>
      <c r="Q27">
        <f>((100*(D27/150)^1.85185)*(10.4057/(B8^4.87037)))</f>
        <v>5.217848997139918</v>
      </c>
    </row>
    <row r="28" spans="1:17" ht="12.75">
      <c r="A28" s="42">
        <v>125</v>
      </c>
      <c r="B28" s="1" t="s">
        <v>5</v>
      </c>
      <c r="C28" s="42">
        <v>1490.1</v>
      </c>
      <c r="D28" s="11">
        <f>(D27-B15)</f>
        <v>31.5</v>
      </c>
      <c r="E28" s="11">
        <f>((D28/448.8)/B9)</f>
        <v>4.329683595236504</v>
      </c>
      <c r="F28" s="12">
        <f>((A28-A27)*(Q28/100))</f>
        <v>2.037366326725286</v>
      </c>
      <c r="G28" s="11">
        <f>(B5-(((C28-C26)+SUM(F27:F28))/2.31))</f>
        <v>38.62867832269258</v>
      </c>
      <c r="Q28">
        <f>((100*(D28/150)^1.85185)*(10.4057/(B8^4.87037)))</f>
        <v>4.074732653450572</v>
      </c>
    </row>
    <row r="29" spans="1:17" ht="12.75">
      <c r="A29" s="42">
        <v>175</v>
      </c>
      <c r="B29" s="1" t="s">
        <v>6</v>
      </c>
      <c r="C29" s="42">
        <v>1486.3</v>
      </c>
      <c r="D29" s="11">
        <f>(D28-B15)</f>
        <v>27</v>
      </c>
      <c r="E29" s="11">
        <f>((D29/448.8)/B9)</f>
        <v>3.7111573673455744</v>
      </c>
      <c r="F29" s="12">
        <f aca="true" t="shared" si="0" ref="F29:F41">((A29-A28)*(Q29/100))</f>
        <v>1.531417873579813</v>
      </c>
      <c r="G29" s="11">
        <f>(B5-(((C29-C26)+SUM(F27:F29))/2.31))</f>
        <v>39.61074850729004</v>
      </c>
      <c r="O29" s="24" t="s">
        <v>90</v>
      </c>
      <c r="P29" s="22" t="s">
        <v>91</v>
      </c>
      <c r="Q29">
        <f>((100*(D29/150)^1.85185)*(10.4057/(B8^4.87037)))</f>
        <v>3.062835747159626</v>
      </c>
    </row>
    <row r="30" spans="1:17" ht="12.75">
      <c r="A30" s="42">
        <v>225</v>
      </c>
      <c r="B30" s="1" t="s">
        <v>7</v>
      </c>
      <c r="C30" s="42">
        <v>1482.8</v>
      </c>
      <c r="D30" s="11">
        <f>(D29-B15)</f>
        <v>22.5</v>
      </c>
      <c r="E30" s="11">
        <f>((D30/448.8)/B9)</f>
        <v>3.0926311394546455</v>
      </c>
      <c r="F30" s="12">
        <f t="shared" si="0"/>
        <v>1.0926018236590986</v>
      </c>
      <c r="G30" s="11">
        <f>(B5-(((C30-C26)+SUM(F26:F30))/2.31))</f>
        <v>40.652912219991734</v>
      </c>
      <c r="Q30">
        <f>((100*(D30/150)^1.85185)*(10.4057/(B8^4.87037)))</f>
        <v>2.1852036473181973</v>
      </c>
    </row>
    <row r="31" spans="1:17" ht="12.75">
      <c r="A31" s="42">
        <v>275</v>
      </c>
      <c r="B31" s="1" t="s">
        <v>8</v>
      </c>
      <c r="C31" s="42">
        <v>1480.5</v>
      </c>
      <c r="D31" s="11">
        <f>(D30-B15)</f>
        <v>18</v>
      </c>
      <c r="E31" s="11">
        <f>((D31/448.8)/B9)</f>
        <v>2.4741049115637166</v>
      </c>
      <c r="F31" s="12">
        <f t="shared" si="0"/>
        <v>0.7227683282060361</v>
      </c>
      <c r="G31" s="11">
        <f>(B5-(((C31-C26)+SUM(F26:F31))/2.31))</f>
        <v>41.33569649349559</v>
      </c>
      <c r="Q31">
        <f>((100*(D31/150)^1.85185)*(10.4057/(B8^4.87037)))</f>
        <v>1.4455366564120722</v>
      </c>
    </row>
    <row r="32" spans="1:17" ht="12.75">
      <c r="A32" s="42">
        <v>325</v>
      </c>
      <c r="B32" s="1" t="s">
        <v>9</v>
      </c>
      <c r="C32" s="42">
        <v>1480</v>
      </c>
      <c r="D32" s="11">
        <f>(D31-B15)</f>
        <v>13.5</v>
      </c>
      <c r="E32" s="11">
        <f>((D32/448.8)/B9)</f>
        <v>1.8555786836727872</v>
      </c>
      <c r="F32" s="12">
        <f t="shared" si="0"/>
        <v>0.42425924432800993</v>
      </c>
      <c r="G32" s="11">
        <f>(B5-(((C32-C26)+SUM(F26:F32))/2.31))</f>
        <v>41.3684846994142</v>
      </c>
      <c r="Q32">
        <f>((100*(D32/150)^1.85185)*(10.4057/(B8^4.87037)))</f>
        <v>0.8485184886560198</v>
      </c>
    </row>
    <row r="33" spans="1:17" ht="12.75">
      <c r="A33" s="42">
        <v>375</v>
      </c>
      <c r="B33" s="1" t="s">
        <v>10</v>
      </c>
      <c r="C33" s="42">
        <v>1481.1</v>
      </c>
      <c r="D33" s="11">
        <f>(D32-B15)</f>
        <v>9</v>
      </c>
      <c r="E33" s="11">
        <f>((D33/448.8)/B9)</f>
        <v>1.2370524557818583</v>
      </c>
      <c r="F33" s="12">
        <f t="shared" si="0"/>
        <v>0.20023348952569936</v>
      </c>
      <c r="G33" s="11">
        <f>(B5-(((C33-C26)+SUM(F26:F33))/2.31))</f>
        <v>40.80561305892693</v>
      </c>
      <c r="Q33">
        <f>((100*(D33/150)^1.85185)*(10.4057/(B8^4.87037)))</f>
        <v>0.4004669790513987</v>
      </c>
    </row>
    <row r="34" spans="1:17" ht="12.75">
      <c r="A34" s="42">
        <v>425</v>
      </c>
      <c r="B34" s="1" t="s">
        <v>11</v>
      </c>
      <c r="C34" s="42">
        <v>1482.8</v>
      </c>
      <c r="D34" s="11">
        <f>(D33-B15)</f>
        <v>4.5</v>
      </c>
      <c r="E34" s="11">
        <f>((D34/448.8)/B9)</f>
        <v>0.6185262278909291</v>
      </c>
      <c r="F34" s="12">
        <f t="shared" si="0"/>
        <v>0.05547206312588879</v>
      </c>
      <c r="G34" s="11">
        <f>(B5-(((C34-C26)+SUM(F26:F34))/2.31))</f>
        <v>40.045668442855096</v>
      </c>
      <c r="Q34">
        <f>((100*(D34/150)^1.85185)*(10.4057/(B8^4.87037)))</f>
        <v>0.11094412625177758</v>
      </c>
    </row>
    <row r="35" spans="1:17" ht="12.75">
      <c r="A35" s="42">
        <v>475</v>
      </c>
      <c r="B35" s="1" t="s">
        <v>12</v>
      </c>
      <c r="C35" s="42">
        <v>100</v>
      </c>
      <c r="D35" s="11">
        <f>(D34-B15)</f>
        <v>0</v>
      </c>
      <c r="E35" s="11">
        <f>((D35/448.8)/B9)</f>
        <v>0</v>
      </c>
      <c r="F35" s="12">
        <f t="shared" si="0"/>
        <v>0</v>
      </c>
      <c r="G35" s="11">
        <f>(B5-(((C35-C26)+SUM(F26:F35))/2.31))</f>
        <v>638.6603870575736</v>
      </c>
      <c r="Q35">
        <f>((100*(D35/150)^1.85185)*(10.4057/(B8^4.87037)))</f>
        <v>0</v>
      </c>
    </row>
    <row r="36" spans="1:17" ht="12.75">
      <c r="A36" s="42">
        <v>380</v>
      </c>
      <c r="B36" s="1" t="s">
        <v>13</v>
      </c>
      <c r="C36" s="42">
        <v>100</v>
      </c>
      <c r="D36" s="11">
        <f>(D35-B15)</f>
        <v>-4.5</v>
      </c>
      <c r="E36" s="11">
        <f>((D36/448.8)/B9)</f>
        <v>-0.6185262278909291</v>
      </c>
      <c r="F36" s="12" t="e">
        <f t="shared" si="0"/>
        <v>#NUM!</v>
      </c>
      <c r="G36" s="11" t="e">
        <f>(B5-(((C36-C26)+SUM(F26:F36))/2.31))</f>
        <v>#NUM!</v>
      </c>
      <c r="Q36" t="e">
        <f>((100*(D36/150)^1.85185)*(10.4057/(B8^4.87037)))</f>
        <v>#NUM!</v>
      </c>
    </row>
    <row r="37" spans="1:17" ht="12.75">
      <c r="A37" s="42">
        <v>420</v>
      </c>
      <c r="B37" s="1" t="s">
        <v>14</v>
      </c>
      <c r="C37" s="42">
        <v>100</v>
      </c>
      <c r="D37" s="11">
        <f>(D36-B15)</f>
        <v>-9</v>
      </c>
      <c r="E37" s="11">
        <f>((D37/448.8)/B9)</f>
        <v>-1.2370524557818583</v>
      </c>
      <c r="F37" s="12" t="e">
        <f t="shared" si="0"/>
        <v>#NUM!</v>
      </c>
      <c r="G37" s="11" t="e">
        <f>(B5-(((C37-C26)+SUM(F26:F37))/2.31))</f>
        <v>#NUM!</v>
      </c>
      <c r="Q37" t="e">
        <f>((100*(D37/150)^1.85185)*(10.4057/(B8^4.87037)))</f>
        <v>#NUM!</v>
      </c>
    </row>
    <row r="38" spans="1:17" ht="12.75">
      <c r="A38" s="42">
        <v>460</v>
      </c>
      <c r="B38" s="1" t="s">
        <v>15</v>
      </c>
      <c r="C38" s="42">
        <v>100</v>
      </c>
      <c r="D38" s="11">
        <f>(D37-B15)</f>
        <v>-13.5</v>
      </c>
      <c r="E38" s="11">
        <f>((D38/448.8)/B9)</f>
        <v>-1.8555786836727872</v>
      </c>
      <c r="F38" s="12" t="e">
        <f t="shared" si="0"/>
        <v>#NUM!</v>
      </c>
      <c r="G38" s="11" t="e">
        <f>(B5-(((C38-C26)+SUM(F26:F38))/2.31))</f>
        <v>#NUM!</v>
      </c>
      <c r="Q38" t="e">
        <f>((100*(D38/150)^1.85185)*(10.4057/(B8^4.87037)))</f>
        <v>#NUM!</v>
      </c>
    </row>
    <row r="39" spans="1:17" ht="12.75">
      <c r="A39" s="42">
        <v>500</v>
      </c>
      <c r="B39" s="1" t="s">
        <v>16</v>
      </c>
      <c r="C39" s="42">
        <v>100</v>
      </c>
      <c r="D39" s="11">
        <f>(D38-B15)</f>
        <v>-18</v>
      </c>
      <c r="E39" s="11">
        <f>((D39/448.8)/B9)</f>
        <v>-2.4741049115637166</v>
      </c>
      <c r="F39" s="12" t="e">
        <f t="shared" si="0"/>
        <v>#NUM!</v>
      </c>
      <c r="G39" s="11" t="e">
        <f>(B5-(((C39-C26)+SUM(F26:F39))/2.31))</f>
        <v>#NUM!</v>
      </c>
      <c r="Q39" t="e">
        <f>((100*(D39/150)^1.85185)*(10.4057/(B8^4.87037)))</f>
        <v>#NUM!</v>
      </c>
    </row>
    <row r="40" spans="1:17" ht="12.75">
      <c r="A40" s="42">
        <v>540</v>
      </c>
      <c r="B40" s="1" t="s">
        <v>17</v>
      </c>
      <c r="C40" s="42">
        <v>100</v>
      </c>
      <c r="D40" s="11">
        <f>(D39-B15)</f>
        <v>-22.5</v>
      </c>
      <c r="E40" s="11">
        <f>((D40/448.8)/B9)</f>
        <v>-3.0926311394546455</v>
      </c>
      <c r="F40" s="12" t="e">
        <f t="shared" si="0"/>
        <v>#NUM!</v>
      </c>
      <c r="G40" s="11" t="e">
        <f>(B5-(((C40-C26)+SUM(F26:F40))/2.31))</f>
        <v>#NUM!</v>
      </c>
      <c r="Q40" t="e">
        <f>((100*(D40/150)^1.85185)*(10.4057/(B8^4.87037)))</f>
        <v>#NUM!</v>
      </c>
    </row>
    <row r="41" spans="1:17" ht="12.75">
      <c r="A41" s="42">
        <v>580</v>
      </c>
      <c r="B41" s="1" t="s">
        <v>18</v>
      </c>
      <c r="C41" s="42">
        <v>100</v>
      </c>
      <c r="D41" s="11">
        <f>(D40-B15)</f>
        <v>-27</v>
      </c>
      <c r="E41" s="11">
        <f>((D41/448.8)/B9)</f>
        <v>-3.7111573673455744</v>
      </c>
      <c r="F41" s="12" t="e">
        <f t="shared" si="0"/>
        <v>#NUM!</v>
      </c>
      <c r="G41" s="11" t="e">
        <f>(B5-(((C41-C26)+SUM(F26:F41))/2.31))</f>
        <v>#NUM!</v>
      </c>
      <c r="Q41" t="e">
        <f>((100*(D41/150)^1.85185)*(10.4057/(B8^4.87037)))</f>
        <v>#NUM!</v>
      </c>
    </row>
    <row r="42" spans="2:7" ht="12.75">
      <c r="B42" s="1"/>
      <c r="C42" s="1"/>
      <c r="D42" s="1"/>
      <c r="E42" s="1"/>
      <c r="F42" s="12"/>
      <c r="G42" s="1"/>
    </row>
    <row r="43" spans="2:7" ht="12.75">
      <c r="B43" s="1"/>
      <c r="C43" s="1"/>
      <c r="D43" s="1"/>
      <c r="E43" s="1"/>
      <c r="F43" s="12" t="e">
        <f>SUM(F27:F42)</f>
        <v>#NUM!</v>
      </c>
      <c r="G43" s="1"/>
    </row>
  </sheetData>
  <sheetProtection password="C7F0" sheet="1" selectLockedCells="1"/>
  <printOptions/>
  <pageMargins left="0.5" right="0.5" top="1" bottom="1" header="0.5" footer="0.5"/>
  <pageSetup fitToHeight="1" fitToWidth="1" orientation="portrait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2" sqref="J5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Gross</dc:creator>
  <cp:keywords/>
  <dc:description/>
  <cp:lastModifiedBy>Jason Gross</cp:lastModifiedBy>
  <cp:lastPrinted>2014-01-09T20:28:11Z</cp:lastPrinted>
  <dcterms:created xsi:type="dcterms:W3CDTF">2011-07-13T15:14:51Z</dcterms:created>
  <dcterms:modified xsi:type="dcterms:W3CDTF">2014-06-03T20:38:32Z</dcterms:modified>
  <cp:category/>
  <cp:version/>
  <cp:contentType/>
  <cp:contentStatus/>
</cp:coreProperties>
</file>